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name="Dashboard" sheetId="1" state="visible" r:id="rId1"/>
    <sheet name="Pedidos" sheetId="2" state="visible" r:id="rId2"/>
    <sheet name="Histórico" sheetId="3" state="visible" r:id="rId3"/>
    <sheet name="Análisis Cliente" sheetId="4" state="visible" r:id="rId4"/>
    <sheet name="Catálogo" sheetId="5" state="visible" r:id="rId5"/>
    <sheet name="Catálogo Clientes" sheetId="6" state="visible" r:id="rId6"/>
    <sheet name="Clientes" sheetId="7" state="visible" r:id="rId7"/>
    <sheet name="Ventas" sheetId="8" state="visible" r:id="rId8"/>
    <sheet name="Crecimiento" sheetId="9" state="visible" r:id="rId9"/>
    <sheet name="Inventario" sheetId="10" state="visible" r:id="rId10"/>
  </sheets>
  <definedNames>
    <definedName name="_xlnm._FilterDatabase" localSheetId="2" hidden="1">'Histórico'!$A$4:$I$24</definedName>
    <definedName name="_xlnm._FilterDatabase" localSheetId="5" hidden="1">'Catálogo Clientes'!$A$4:$H$15</definedName>
    <definedName name="_xlnm._FilterDatabase" localSheetId="6" hidden="1">'Clientes'!$A$4:$G$220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9">
    <numFmt numFmtId="164" formatCode="\$#,##0;&quot;($&quot;#,##0\);\-"/>
    <numFmt numFmtId="165" formatCode="#,##0;\(#,##0\);\-"/>
    <numFmt numFmtId="166" formatCode="0.0%;\(0.0%\);\-"/>
    <numFmt numFmtId="167" formatCode="0.00\x"/>
    <numFmt numFmtId="168" formatCode="0.0\x"/>
    <numFmt numFmtId="169" formatCode="0.0;\(0.0\);\-"/>
    <numFmt numFmtId="170" formatCode="&quot;$&quot;#,##0"/>
    <numFmt numFmtId="171" formatCode="0.0%"/>
    <numFmt numFmtId="172" formatCode="&quot;$&quot;#,##0;[Red](&quot;$&quot;#,##0);-"/>
    <numFmt numFmtId="173" formatCode="0.0%;[Red](0.0%);-"/>
    <numFmt numFmtId="174" formatCode="dd-mmm-yyyy"/>
    <numFmt numFmtId="175" formatCode="#,##0;-"/>
    <numFmt numFmtId="176" formatCode="&quot;$&quot;#,##0.00;-"/>
    <numFmt numFmtId="177" formatCode="&quot;$&quot;#,##0.00"/>
    <numFmt numFmtId="178" formatCode="&quot;$&quot;#,##0.00;[Red](&quot;$&quot;#,##0.00);-"/>
    <numFmt numFmtId="179" formatCode="#,##0;[Red](#,##0);-"/>
    <numFmt numFmtId="180" formatCode="0.0;[Red]0.0;-"/>
    <numFmt numFmtId="181" formatCode="0.0%;-"/>
    <numFmt numFmtId="182" formatCode="#,##0.0"/>
  </numFmts>
  <fonts count="36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1C2E47"/>
      <sz val="13"/>
    </font>
    <font>
      <name val="Arial"/>
      <charset val="1"/>
      <family val="0"/>
      <i val="1"/>
      <color rgb="FF64748B"/>
      <sz val="9"/>
    </font>
    <font>
      <name val="Arial"/>
      <charset val="1"/>
      <family val="0"/>
      <b val="1"/>
      <color rgb="FF1C2E47"/>
      <sz val="10"/>
    </font>
    <font>
      <name val="Arial"/>
      <charset val="1"/>
      <family val="0"/>
      <sz val="10"/>
    </font>
    <font>
      <name val="Arial"/>
      <charset val="1"/>
      <family val="0"/>
      <color rgb="FF000000"/>
      <sz val="10"/>
    </font>
    <font>
      <name val="Arial"/>
      <charset val="1"/>
      <family val="0"/>
      <i val="1"/>
      <color rgb="FF64748B"/>
      <sz val="8"/>
    </font>
    <font>
      <name val="Arial"/>
      <charset val="1"/>
      <family val="0"/>
      <b val="1"/>
      <color rgb="FFFFFFFF"/>
      <sz val="10"/>
    </font>
    <font>
      <name val="Arial"/>
      <charset val="1"/>
      <family val="0"/>
      <color rgb="FF0000FF"/>
      <sz val="10"/>
    </font>
    <font>
      <name val="Arial"/>
      <charset val="1"/>
      <family val="0"/>
      <b val="1"/>
      <color rgb="FF1A7A47"/>
      <sz val="11"/>
    </font>
    <font>
      <name val="Arial"/>
      <b val="1"/>
      <color rgb="00FFFFFF"/>
      <sz val="14"/>
    </font>
    <font>
      <name val="Arial"/>
      <i val="1"/>
      <color rgb="0064748B"/>
      <sz val="9"/>
    </font>
    <font>
      <name val="Arial"/>
      <i val="1"/>
      <color rgb="00BF6610"/>
      <sz val="9"/>
    </font>
    <font>
      <name val="Arial"/>
      <b val="1"/>
      <color rgb="00FFFFFF"/>
      <sz val="10"/>
    </font>
    <font>
      <name val="Arial"/>
      <color rgb="001E40AF"/>
      <sz val="10"/>
    </font>
    <font>
      <name val="Arial"/>
      <color rgb="00000000"/>
      <sz val="10"/>
    </font>
    <font>
      <name val="Arial"/>
      <b val="1"/>
      <color rgb="00FFFFFF"/>
      <sz val="11"/>
    </font>
    <font>
      <name val="Arial"/>
      <b val="1"/>
      <color rgb="00FFFFFF"/>
      <sz val="16"/>
    </font>
    <font>
      <name val="Arial"/>
      <b val="1"/>
      <color rgb="001C2E47"/>
      <sz val="10"/>
    </font>
    <font>
      <name val="Arial"/>
      <b val="1"/>
      <color rgb="007C3AED"/>
      <sz val="11"/>
    </font>
    <font>
      <name val="Arial"/>
      <b val="1"/>
      <color rgb="0064748B"/>
      <sz val="10"/>
    </font>
    <font>
      <name val="Arial"/>
      <b val="1"/>
      <color rgb="001C2E47"/>
      <sz val="11"/>
    </font>
    <font>
      <name val="Arial"/>
      <b val="1"/>
      <color rgb="00000000"/>
      <sz val="10"/>
    </font>
    <font>
      <name val="Arial"/>
      <b val="1"/>
      <color rgb="00FFFFFF"/>
      <sz val="13"/>
    </font>
    <font>
      <name val="Arial"/>
      <sz val="10"/>
    </font>
    <font>
      <name val="Arial"/>
      <b val="1"/>
      <color rgb="00FFFFFF"/>
      <sz val="18"/>
    </font>
    <font>
      <name val="Arial"/>
      <b val="1"/>
      <color rgb="00FFFFFF"/>
      <sz val="12"/>
    </font>
    <font>
      <name val="Arial"/>
      <b val="1"/>
      <color rgb="0064748B"/>
      <sz val="9"/>
    </font>
    <font>
      <name val="Arial"/>
      <b val="1"/>
      <color rgb="001C2E47"/>
      <sz val="20"/>
    </font>
    <font>
      <name val="Arial"/>
      <color rgb="00006100"/>
      <sz val="10"/>
    </font>
    <font>
      <name val="Arial"/>
      <b val="1"/>
      <color rgb="00B52D3A"/>
      <sz val="20"/>
    </font>
    <font>
      <name val="Arial"/>
      <b val="1"/>
      <color rgb="001C2E47"/>
      <sz val="10.5"/>
    </font>
    <font>
      <name val="Arial"/>
      <i val="1"/>
      <color rgb="001C2E47"/>
      <sz val="10"/>
    </font>
  </fonts>
  <fills count="11">
    <fill>
      <patternFill/>
    </fill>
    <fill>
      <patternFill patternType="gray125"/>
    </fill>
    <fill>
      <patternFill patternType="solid">
        <fgColor rgb="FFEEF3F9"/>
        <bgColor rgb="FFFFFFFF"/>
      </patternFill>
    </fill>
    <fill>
      <patternFill patternType="solid">
        <fgColor rgb="FF1C2E47"/>
        <bgColor rgb="FF003366"/>
      </patternFill>
    </fill>
    <fill>
      <patternFill patternType="solid">
        <fgColor rgb="001C2E47"/>
        <bgColor rgb="001C2E47"/>
      </patternFill>
    </fill>
    <fill>
      <patternFill patternType="solid">
        <fgColor rgb="00EFF6FF"/>
        <bgColor rgb="00EFF6FF"/>
      </patternFill>
    </fill>
    <fill>
      <patternFill patternType="solid">
        <fgColor rgb="00F1F5F9"/>
        <bgColor rgb="00F1F5F9"/>
      </patternFill>
    </fill>
    <fill>
      <patternFill patternType="solid">
        <fgColor rgb="00EDE9FE"/>
        <bgColor rgb="00EDE9FE"/>
      </patternFill>
    </fill>
    <fill>
      <patternFill patternType="solid">
        <fgColor rgb="00F8FAFC"/>
        <bgColor rgb="00F8FAFC"/>
      </patternFill>
    </fill>
    <fill>
      <patternFill patternType="solid">
        <fgColor rgb="007C3AED"/>
        <bgColor rgb="007C3AED"/>
      </patternFill>
    </fill>
    <fill>
      <patternFill patternType="solid">
        <fgColor rgb="005B21B6"/>
        <bgColor rgb="005B21B6"/>
      </patternFill>
    </fill>
  </fills>
  <borders count="13">
    <border>
      <left/>
      <right/>
      <top/>
      <bottom/>
      <diagonal/>
    </border>
    <border>
      <left style="thin">
        <color rgb="FFD8E3EF"/>
      </left>
      <right style="thin">
        <color rgb="FFD8E3EF"/>
      </right>
      <top style="thin">
        <color rgb="FFD8E3EF"/>
      </top>
      <bottom style="thin">
        <color rgb="FFD8E3EF"/>
      </bottom>
      <diagonal/>
    </border>
    <border>
      <left style="thin">
        <color rgb="00A0AEC0"/>
      </left>
      <right style="thin">
        <color rgb="00A0AEC0"/>
      </right>
      <top style="thin">
        <color rgb="00A0AEC0"/>
      </top>
      <bottom style="thin">
        <color rgb="00A0AEC0"/>
      </bottom>
    </border>
    <border>
      <left style="thin">
        <color rgb="00C7CFD9"/>
      </left>
      <right style="thin">
        <color rgb="00C7CFD9"/>
      </right>
      <top style="thin">
        <color rgb="00C7CFD9"/>
      </top>
      <bottom style="thin">
        <color rgb="00C7CFD9"/>
      </bottom>
    </border>
    <border/>
    <border>
      <left/>
      <right/>
      <top style="thin">
        <color rgb="00C7CFD9"/>
      </top>
      <bottom/>
      <diagonal/>
    </border>
    <border>
      <left/>
      <right style="thin">
        <color rgb="00C7CFD9"/>
      </right>
      <top style="thin">
        <color rgb="00C7CFD9"/>
      </top>
      <bottom/>
      <diagonal/>
    </border>
    <border>
      <left/>
      <right/>
      <top style="thin">
        <color rgb="00C7CFD9"/>
      </top>
      <bottom style="thin">
        <color rgb="00C7CFD9"/>
      </bottom>
      <diagonal/>
    </border>
    <border>
      <left/>
      <right style="thin">
        <color rgb="00C7CFD9"/>
      </right>
      <top style="thin">
        <color rgb="00C7CFD9"/>
      </top>
      <bottom style="thin">
        <color rgb="00C7CFD9"/>
      </bottom>
      <diagonal/>
    </border>
    <border>
      <left/>
      <right/>
      <top style="thin">
        <color rgb="00A0AEC0"/>
      </top>
      <bottom/>
      <diagonal/>
    </border>
    <border>
      <left/>
      <right style="thin">
        <color rgb="00A0AEC0"/>
      </right>
      <top style="thin">
        <color rgb="00A0AEC0"/>
      </top>
      <bottom/>
      <diagonal/>
    </border>
    <border>
      <left/>
      <right/>
      <top style="thin">
        <color rgb="00A0AEC0"/>
      </top>
      <bottom style="thin">
        <color rgb="00A0AEC0"/>
      </bottom>
      <diagonal/>
    </border>
    <border>
      <left/>
      <right style="thin">
        <color rgb="00A0AEC0"/>
      </right>
      <top style="thin">
        <color rgb="00A0AEC0"/>
      </top>
      <bottom style="thin">
        <color rgb="00A0AEC0"/>
      </bottom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221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general" vertical="bottom"/>
    </xf>
    <xf numFmtId="0" fontId="5" fillId="0" borderId="0" applyAlignment="1" pivotButton="0" quotePrefix="0" xfId="0">
      <alignment horizontal="general" vertical="bottom"/>
    </xf>
    <xf numFmtId="0" fontId="6" fillId="0" borderId="0" applyAlignment="1" pivotButton="0" quotePrefix="0" xfId="0">
      <alignment horizontal="general" vertical="bottom"/>
    </xf>
    <xf numFmtId="0" fontId="7" fillId="0" borderId="0" applyAlignment="1" pivotButton="0" quotePrefix="0" xfId="0">
      <alignment horizontal="general" vertical="bottom"/>
    </xf>
    <xf numFmtId="164" fontId="8" fillId="0" borderId="0" applyAlignment="1" pivotButton="0" quotePrefix="0" xfId="0">
      <alignment horizontal="general" vertical="bottom"/>
    </xf>
    <xf numFmtId="165" fontId="8" fillId="0" borderId="0" applyAlignment="1" pivotButton="0" quotePrefix="0" xfId="0">
      <alignment horizontal="general" vertical="bottom"/>
    </xf>
    <xf numFmtId="166" fontId="8" fillId="0" borderId="0" applyAlignment="1" pivotButton="0" quotePrefix="0" xfId="0">
      <alignment horizontal="general" vertical="bottom"/>
    </xf>
    <xf numFmtId="0" fontId="6" fillId="2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164" fontId="6" fillId="2" borderId="0" applyAlignment="1" pivotButton="0" quotePrefix="0" xfId="0">
      <alignment horizontal="general" vertical="bottom"/>
    </xf>
    <xf numFmtId="0" fontId="9" fillId="0" borderId="0" applyAlignment="1" pivotButton="0" quotePrefix="0" xfId="0">
      <alignment horizontal="general" vertical="bottom"/>
    </xf>
    <xf numFmtId="0" fontId="10" fillId="3" borderId="0" applyAlignment="1" pivotButton="0" quotePrefix="0" xfId="0">
      <alignment horizontal="general" vertical="bottom"/>
    </xf>
    <xf numFmtId="164" fontId="11" fillId="0" borderId="0" applyAlignment="1" pivotButton="0" quotePrefix="0" xfId="0">
      <alignment horizontal="general" vertical="bottom"/>
    </xf>
    <xf numFmtId="164" fontId="6" fillId="0" borderId="0" applyAlignment="1" pivotButton="0" quotePrefix="0" xfId="0">
      <alignment horizontal="general" vertical="bottom"/>
    </xf>
    <xf numFmtId="164" fontId="12" fillId="0" borderId="0" applyAlignment="1" pivotButton="0" quotePrefix="0" xfId="0">
      <alignment horizontal="general" vertical="bottom"/>
    </xf>
    <xf numFmtId="166" fontId="11" fillId="0" borderId="0" applyAlignment="1" pivotButton="0" quotePrefix="0" xfId="0">
      <alignment horizontal="general" vertical="bottom"/>
    </xf>
    <xf numFmtId="0" fontId="10" fillId="3" borderId="1" applyAlignment="1" pivotButton="0" quotePrefix="0" xfId="0">
      <alignment horizontal="center" vertical="center" wrapText="1"/>
    </xf>
    <xf numFmtId="0" fontId="7" fillId="0" borderId="1" applyAlignment="1" pivotButton="0" quotePrefix="0" xfId="0">
      <alignment horizontal="general" vertical="bottom"/>
    </xf>
    <xf numFmtId="164" fontId="11" fillId="0" borderId="1" applyAlignment="1" pivotButton="0" quotePrefix="0" xfId="0">
      <alignment horizontal="general" vertical="bottom"/>
    </xf>
    <xf numFmtId="164" fontId="8" fillId="0" borderId="1" applyAlignment="1" pivotButton="0" quotePrefix="0" xfId="0">
      <alignment horizontal="general" vertical="bottom"/>
    </xf>
    <xf numFmtId="166" fontId="8" fillId="0" borderId="1" applyAlignment="1" pivotButton="0" quotePrefix="0" xfId="0">
      <alignment horizontal="general" vertical="bottom"/>
    </xf>
    <xf numFmtId="166" fontId="11" fillId="0" borderId="1" applyAlignment="1" pivotButton="0" quotePrefix="0" xfId="0">
      <alignment horizontal="general" vertical="bottom"/>
    </xf>
    <xf numFmtId="165" fontId="11" fillId="0" borderId="1" applyAlignment="1" pivotButton="0" quotePrefix="0" xfId="0">
      <alignment horizontal="general" vertical="bottom"/>
    </xf>
    <xf numFmtId="0" fontId="8" fillId="0" borderId="1" applyAlignment="1" pivotButton="0" quotePrefix="0" xfId="0">
      <alignment horizontal="general" vertical="bottom"/>
    </xf>
    <xf numFmtId="165" fontId="8" fillId="0" borderId="1" applyAlignment="1" pivotButton="0" quotePrefix="0" xfId="0">
      <alignment horizontal="general" vertical="bottom"/>
    </xf>
    <xf numFmtId="166" fontId="6" fillId="2" borderId="0" applyAlignment="1" pivotButton="0" quotePrefix="0" xfId="0">
      <alignment horizontal="general" vertical="bottom"/>
    </xf>
    <xf numFmtId="167" fontId="8" fillId="0" borderId="1" applyAlignment="1" pivotButton="0" quotePrefix="0" xfId="0">
      <alignment horizontal="general" vertical="bottom"/>
    </xf>
    <xf numFmtId="0" fontId="6" fillId="2" borderId="1" applyAlignment="1" pivotButton="0" quotePrefix="0" xfId="0">
      <alignment horizontal="general" vertical="bottom"/>
    </xf>
    <xf numFmtId="164" fontId="6" fillId="2" borderId="1" applyAlignment="1" pivotButton="0" quotePrefix="0" xfId="0">
      <alignment horizontal="general" vertical="bottom"/>
    </xf>
    <xf numFmtId="166" fontId="6" fillId="2" borderId="1" applyAlignment="1" pivotButton="0" quotePrefix="0" xfId="0">
      <alignment horizontal="general" vertical="bottom"/>
    </xf>
    <xf numFmtId="0" fontId="0" fillId="2" borderId="1" applyAlignment="1" pivotButton="0" quotePrefix="0" xfId="0">
      <alignment horizontal="general" vertical="bottom"/>
    </xf>
    <xf numFmtId="168" fontId="8" fillId="0" borderId="1" applyAlignment="1" pivotButton="0" quotePrefix="0" xfId="0">
      <alignment horizontal="general" vertical="bottom"/>
    </xf>
    <xf numFmtId="169" fontId="8" fillId="0" borderId="1" applyAlignment="1" pivotButton="0" quotePrefix="0" xfId="0">
      <alignment horizontal="general" vertical="bottom"/>
    </xf>
    <xf numFmtId="168" fontId="6" fillId="2" borderId="1" applyAlignment="1" pivotButton="0" quotePrefix="0" xfId="0">
      <alignment horizontal="general" vertical="bottom"/>
    </xf>
    <xf numFmtId="169" fontId="6" fillId="2" borderId="1" applyAlignment="1" pivotButton="0" quotePrefix="0" xfId="0">
      <alignment horizontal="general" vertical="bottom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28" fillId="4" borderId="4" applyAlignment="1" pivotButton="0" quotePrefix="0" xfId="0">
      <alignment horizontal="left" vertical="center" indent="1"/>
    </xf>
    <xf numFmtId="0" fontId="14" fillId="0" borderId="4" applyAlignment="1" pivotButton="0" quotePrefix="0" xfId="0">
      <alignment horizontal="left" vertical="center" wrapText="1" indent="1"/>
    </xf>
    <xf numFmtId="0" fontId="27" fillId="0" borderId="4" pivotButton="0" quotePrefix="0" xfId="0"/>
    <xf numFmtId="0" fontId="29" fillId="9" borderId="4" applyAlignment="1" pivotButton="0" quotePrefix="0" xfId="0">
      <alignment horizontal="left" vertical="center" indent="1"/>
    </xf>
    <xf numFmtId="0" fontId="30" fillId="0" borderId="4" applyAlignment="1" pivotButton="0" quotePrefix="0" xfId="0">
      <alignment horizontal="left" vertical="center" indent="1"/>
    </xf>
    <xf numFmtId="164" fontId="30" fillId="0" borderId="4" applyAlignment="1" pivotButton="0" quotePrefix="0" xfId="0">
      <alignment horizontal="left" vertical="center" indent="1"/>
    </xf>
    <xf numFmtId="0" fontId="30" fillId="0" borderId="0" applyAlignment="1" pivotButton="0" quotePrefix="0" xfId="0">
      <alignment horizontal="left" vertical="center" indent="1"/>
    </xf>
    <xf numFmtId="170" fontId="31" fillId="0" borderId="4" applyAlignment="1" pivotButton="0" quotePrefix="0" xfId="0">
      <alignment horizontal="left" vertical="center" indent="1"/>
    </xf>
    <xf numFmtId="171" fontId="31" fillId="0" borderId="4" applyAlignment="1" pivotButton="0" quotePrefix="0" xfId="0">
      <alignment horizontal="left" vertical="center" indent="1"/>
    </xf>
    <xf numFmtId="170" fontId="31" fillId="0" borderId="0" applyAlignment="1" pivotButton="0" quotePrefix="0" xfId="0">
      <alignment horizontal="left" vertical="center" indent="1"/>
    </xf>
    <xf numFmtId="0" fontId="14" fillId="0" borderId="4" applyAlignment="1" pivotButton="0" quotePrefix="0" xfId="0">
      <alignment horizontal="left" vertical="center" indent="1"/>
    </xf>
    <xf numFmtId="166" fontId="14" fillId="0" borderId="4" applyAlignment="1" pivotButton="0" quotePrefix="0" xfId="0">
      <alignment horizontal="left" vertical="center" indent="1"/>
    </xf>
    <xf numFmtId="0" fontId="14" fillId="0" borderId="0" applyAlignment="1" pivotButton="0" quotePrefix="0" xfId="0">
      <alignment horizontal="left" vertical="center" indent="1"/>
    </xf>
    <xf numFmtId="165" fontId="27" fillId="0" borderId="4" pivotButton="0" quotePrefix="0" xfId="0"/>
    <xf numFmtId="0" fontId="16" fillId="4" borderId="2" applyAlignment="1" pivotButton="0" quotePrefix="0" xfId="0">
      <alignment horizontal="center" vertical="center" wrapText="1"/>
    </xf>
    <xf numFmtId="0" fontId="32" fillId="0" borderId="3" applyAlignment="1" pivotButton="0" quotePrefix="0" xfId="0">
      <alignment horizontal="left" vertical="center" indent="1"/>
    </xf>
    <xf numFmtId="170" fontId="32" fillId="0" borderId="3" applyAlignment="1" pivotButton="0" quotePrefix="0" xfId="0">
      <alignment horizontal="right" vertical="center" indent="1"/>
    </xf>
    <xf numFmtId="172" fontId="32" fillId="0" borderId="3" applyAlignment="1" pivotButton="0" quotePrefix="0" xfId="0">
      <alignment horizontal="right" vertical="center" indent="1"/>
    </xf>
    <xf numFmtId="173" fontId="32" fillId="0" borderId="3" applyAlignment="1" pivotButton="0" quotePrefix="0" xfId="0">
      <alignment horizontal="right" vertical="center" indent="1"/>
    </xf>
    <xf numFmtId="171" fontId="32" fillId="0" borderId="3" applyAlignment="1" pivotButton="0" quotePrefix="0" xfId="0">
      <alignment horizontal="right" vertical="center" indent="1"/>
    </xf>
    <xf numFmtId="0" fontId="19" fillId="4" borderId="2" applyAlignment="1" pivotButton="0" quotePrefix="0" xfId="0">
      <alignment horizontal="left" vertical="center" indent="1"/>
    </xf>
    <xf numFmtId="170" fontId="19" fillId="4" borderId="2" applyAlignment="1" pivotButton="0" quotePrefix="0" xfId="0">
      <alignment horizontal="right" vertical="center" indent="1"/>
    </xf>
    <xf numFmtId="171" fontId="19" fillId="4" borderId="2" applyAlignment="1" pivotButton="0" quotePrefix="0" xfId="0">
      <alignment horizontal="right" vertical="center" indent="1"/>
    </xf>
    <xf numFmtId="0" fontId="19" fillId="4" borderId="2" applyAlignment="1" pivotButton="0" quotePrefix="0" xfId="0">
      <alignment horizontal="right" vertical="center" indent="1"/>
    </xf>
    <xf numFmtId="3" fontId="31" fillId="0" borderId="4" applyAlignment="1" pivotButton="0" quotePrefix="0" xfId="0">
      <alignment horizontal="left" vertical="center" indent="1"/>
    </xf>
    <xf numFmtId="3" fontId="33" fillId="0" borderId="4" applyAlignment="1" pivotButton="0" quotePrefix="0" xfId="0">
      <alignment horizontal="left" vertical="center" indent="1"/>
    </xf>
    <xf numFmtId="164" fontId="16" fillId="4" borderId="2" applyAlignment="1" pivotButton="0" quotePrefix="0" xfId="0">
      <alignment horizontal="center" vertical="center" wrapText="1"/>
    </xf>
    <xf numFmtId="0" fontId="18" fillId="0" borderId="3" applyAlignment="1" pivotButton="0" quotePrefix="0" xfId="0">
      <alignment horizontal="right" vertical="center" indent="1"/>
    </xf>
    <xf numFmtId="164" fontId="18" fillId="0" borderId="3" applyAlignment="1" pivotButton="0" quotePrefix="0" xfId="0">
      <alignment horizontal="left" vertical="center" indent="1"/>
    </xf>
    <xf numFmtId="3" fontId="18" fillId="0" borderId="3" applyAlignment="1" pivotButton="0" quotePrefix="0" xfId="0">
      <alignment horizontal="right" vertical="center" indent="1"/>
    </xf>
    <xf numFmtId="170" fontId="18" fillId="0" borderId="3" applyAlignment="1" pivotButton="0" quotePrefix="0" xfId="0">
      <alignment horizontal="right" vertical="center" indent="1"/>
    </xf>
    <xf numFmtId="171" fontId="18" fillId="0" borderId="3" applyAlignment="1" pivotButton="0" quotePrefix="0" xfId="0">
      <alignment horizontal="right" vertical="center" indent="1"/>
    </xf>
    <xf numFmtId="0" fontId="22" fillId="7" borderId="3" applyAlignment="1" pivotButton="0" quotePrefix="0" xfId="0">
      <alignment horizontal="center" vertical="top"/>
    </xf>
    <xf numFmtId="0" fontId="34" fillId="0" borderId="3" applyAlignment="1" pivotButton="0" quotePrefix="0" xfId="0">
      <alignment horizontal="left" vertical="top" wrapText="1" indent="1"/>
    </xf>
    <xf numFmtId="0" fontId="18" fillId="0" borderId="3" applyAlignment="1" pivotButton="0" quotePrefix="0" xfId="0">
      <alignment horizontal="left" vertical="top" wrapText="1" indent="1"/>
    </xf>
    <xf numFmtId="0" fontId="20" fillId="4" borderId="0" applyAlignment="1" pivotButton="0" quotePrefix="0" xfId="0">
      <alignment horizontal="left" vertical="center" indent="1"/>
    </xf>
    <xf numFmtId="0" fontId="14" fillId="0" borderId="0" applyAlignment="1" pivotButton="0" quotePrefix="0" xfId="0">
      <alignment horizontal="left" vertical="center" wrapText="1" indent="1"/>
    </xf>
    <xf numFmtId="0" fontId="21" fillId="6" borderId="3" applyAlignment="1" pivotButton="0" quotePrefix="0" xfId="0">
      <alignment horizontal="right" vertical="center" indent="1"/>
    </xf>
    <xf numFmtId="0" fontId="18" fillId="5" borderId="3" applyAlignment="1" pivotButton="0" quotePrefix="0" xfId="0">
      <alignment horizontal="left" vertical="center" indent="1"/>
    </xf>
    <xf numFmtId="174" fontId="17" fillId="5" borderId="3" applyAlignment="1" pivotButton="0" quotePrefix="0" xfId="0">
      <alignment horizontal="left" vertical="center" indent="1"/>
    </xf>
    <xf numFmtId="0" fontId="17" fillId="5" borderId="3" applyAlignment="1" pivotButton="0" quotePrefix="0" xfId="0">
      <alignment horizontal="left" vertical="center" indent="1"/>
    </xf>
    <xf numFmtId="0" fontId="22" fillId="7" borderId="0" applyAlignment="1" pivotButton="0" quotePrefix="0" xfId="0">
      <alignment horizontal="left" vertical="center" indent="1"/>
    </xf>
    <xf numFmtId="0" fontId="23" fillId="8" borderId="3" applyAlignment="1" pivotButton="0" quotePrefix="0" xfId="0">
      <alignment horizontal="center" vertical="center"/>
    </xf>
    <xf numFmtId="0" fontId="17" fillId="5" borderId="3" applyAlignment="1" pivotButton="0" quotePrefix="0" xfId="0">
      <alignment horizontal="center" vertical="center"/>
    </xf>
    <xf numFmtId="0" fontId="18" fillId="0" borderId="3" pivotButton="0" quotePrefix="0" xfId="0"/>
    <xf numFmtId="175" fontId="17" fillId="5" borderId="3" applyAlignment="1" pivotButton="0" quotePrefix="0" xfId="0">
      <alignment horizontal="center" vertical="center"/>
    </xf>
    <xf numFmtId="176" fontId="18" fillId="0" borderId="3" pivotButton="0" quotePrefix="0" xfId="0"/>
    <xf numFmtId="0" fontId="24" fillId="6" borderId="0" applyAlignment="1" pivotButton="0" quotePrefix="0" xfId="0">
      <alignment horizontal="right" vertical="center" indent="1"/>
    </xf>
    <xf numFmtId="176" fontId="25" fillId="6" borderId="3" pivotButton="0" quotePrefix="0" xfId="0"/>
    <xf numFmtId="176" fontId="25" fillId="6" borderId="3" applyAlignment="1" pivotButton="0" quotePrefix="0" xfId="0">
      <alignment horizontal="right" vertical="center" indent="1"/>
    </xf>
    <xf numFmtId="0" fontId="26" fillId="9" borderId="2" applyAlignment="1" pivotButton="0" quotePrefix="0" xfId="0">
      <alignment horizontal="right" vertical="center" indent="1"/>
    </xf>
    <xf numFmtId="176" fontId="26" fillId="9" borderId="2" applyAlignment="1" pivotButton="0" quotePrefix="0" xfId="0">
      <alignment horizontal="right" vertical="center" indent="1"/>
    </xf>
    <xf numFmtId="0" fontId="15" fillId="0" borderId="0" applyAlignment="1" pivotButton="0" quotePrefix="0" xfId="0">
      <alignment horizontal="left" vertical="center" wrapText="1" indent="1"/>
    </xf>
    <xf numFmtId="0" fontId="13" fillId="4" borderId="0" applyAlignment="1" pivotButton="0" quotePrefix="0" xfId="0">
      <alignment horizontal="left" vertical="center" indent="1"/>
    </xf>
    <xf numFmtId="0" fontId="18" fillId="0" borderId="3" applyAlignment="1" pivotButton="0" quotePrefix="0" xfId="0">
      <alignment horizontal="left" vertical="center" indent="1"/>
    </xf>
    <xf numFmtId="177" fontId="18" fillId="0" borderId="3" applyAlignment="1" pivotButton="0" quotePrefix="0" xfId="0">
      <alignment horizontal="right" vertical="center" indent="1"/>
    </xf>
    <xf numFmtId="176" fontId="18" fillId="0" borderId="3" applyAlignment="1" pivotButton="0" quotePrefix="0" xfId="0">
      <alignment horizontal="right" vertical="center" indent="1"/>
    </xf>
    <xf numFmtId="3" fontId="19" fillId="4" borderId="2" applyAlignment="1" pivotButton="0" quotePrefix="0" xfId="0">
      <alignment horizontal="right" vertical="center"/>
    </xf>
    <xf numFmtId="177" fontId="19" fillId="4" borderId="2" applyAlignment="1" pivotButton="0" quotePrefix="0" xfId="0">
      <alignment horizontal="right" vertical="center"/>
    </xf>
    <xf numFmtId="0" fontId="17" fillId="5" borderId="3" applyAlignment="1" pivotButton="0" quotePrefix="0" xfId="0">
      <alignment horizontal="general" vertical="bottom"/>
    </xf>
    <xf numFmtId="177" fontId="17" fillId="5" borderId="3" applyAlignment="1" pivotButton="0" quotePrefix="0" xfId="0">
      <alignment horizontal="general" vertical="bottom"/>
    </xf>
    <xf numFmtId="178" fontId="18" fillId="0" borderId="3" applyAlignment="1" pivotButton="0" quotePrefix="0" xfId="0">
      <alignment horizontal="general" vertical="bottom"/>
    </xf>
    <xf numFmtId="173" fontId="18" fillId="0" borderId="3" applyAlignment="1" pivotButton="0" quotePrefix="0" xfId="0">
      <alignment horizontal="general" vertical="bottom"/>
    </xf>
    <xf numFmtId="9" fontId="17" fillId="5" borderId="3" applyAlignment="1" pivotButton="0" quotePrefix="0" xfId="0">
      <alignment horizontal="general" vertical="bottom"/>
    </xf>
    <xf numFmtId="179" fontId="17" fillId="5" borderId="3" applyAlignment="1" pivotButton="0" quotePrefix="0" xfId="0">
      <alignment horizontal="general" vertical="bottom"/>
    </xf>
    <xf numFmtId="0" fontId="18" fillId="0" borderId="3" applyAlignment="1" pivotButton="0" quotePrefix="0" xfId="0">
      <alignment horizontal="general" vertical="bottom"/>
    </xf>
    <xf numFmtId="172" fontId="17" fillId="5" borderId="3" applyAlignment="1" pivotButton="0" quotePrefix="0" xfId="0">
      <alignment horizontal="general" vertical="bottom"/>
    </xf>
    <xf numFmtId="3" fontId="18" fillId="0" borderId="3" applyAlignment="1" pivotButton="0" quotePrefix="0" xfId="0">
      <alignment horizontal="general" vertical="bottom"/>
    </xf>
    <xf numFmtId="170" fontId="18" fillId="0" borderId="3" applyAlignment="1" pivotButton="0" quotePrefix="0" xfId="0">
      <alignment horizontal="general" vertical="bottom"/>
    </xf>
    <xf numFmtId="171" fontId="18" fillId="0" borderId="3" applyAlignment="1" pivotButton="0" quotePrefix="0" xfId="0">
      <alignment horizontal="general" vertical="bottom"/>
    </xf>
    <xf numFmtId="9" fontId="18" fillId="0" borderId="3" applyAlignment="1" pivotButton="0" quotePrefix="0" xfId="0">
      <alignment horizontal="general" vertical="bottom"/>
    </xf>
    <xf numFmtId="0" fontId="19" fillId="4" borderId="2" applyAlignment="1" pivotButton="0" quotePrefix="0" xfId="0">
      <alignment horizontal="right" vertical="center"/>
    </xf>
    <xf numFmtId="170" fontId="19" fillId="4" borderId="2" applyAlignment="1" pivotButton="0" quotePrefix="0" xfId="0">
      <alignment horizontal="right" vertical="center"/>
    </xf>
    <xf numFmtId="173" fontId="18" fillId="0" borderId="3" pivotButton="0" quotePrefix="0" xfId="0"/>
    <xf numFmtId="3" fontId="18" fillId="0" borderId="3" pivotButton="0" quotePrefix="0" xfId="0"/>
    <xf numFmtId="171" fontId="19" fillId="4" borderId="2" applyAlignment="1" pivotButton="0" quotePrefix="0" xfId="0">
      <alignment horizontal="right" vertical="center"/>
    </xf>
    <xf numFmtId="9" fontId="18" fillId="0" borderId="3" pivotButton="0" quotePrefix="0" xfId="0"/>
    <xf numFmtId="3" fontId="17" fillId="5" borderId="3" applyAlignment="1" pivotButton="0" quotePrefix="0" xfId="0">
      <alignment horizontal="general" vertical="bottom"/>
    </xf>
    <xf numFmtId="170" fontId="17" fillId="5" borderId="3" applyAlignment="1" pivotButton="0" quotePrefix="0" xfId="0">
      <alignment horizontal="general" vertical="bottom"/>
    </xf>
    <xf numFmtId="0" fontId="17" fillId="5" borderId="3" pivotButton="0" quotePrefix="0" xfId="0"/>
    <xf numFmtId="3" fontId="17" fillId="5" borderId="3" pivotButton="0" quotePrefix="0" xfId="0"/>
    <xf numFmtId="170" fontId="17" fillId="5" borderId="3" pivotButton="0" quotePrefix="0" xfId="0"/>
    <xf numFmtId="0" fontId="17" fillId="5" borderId="3" applyAlignment="1" pivotButton="0" quotePrefix="0" xfId="0">
      <alignment horizontal="center" vertical="center" wrapText="1"/>
    </xf>
    <xf numFmtId="0" fontId="18" fillId="3" borderId="3" applyAlignment="1" pivotButton="0" quotePrefix="0" xfId="0">
      <alignment horizontal="center" vertical="center" wrapText="1"/>
    </xf>
    <xf numFmtId="165" fontId="17" fillId="5" borderId="3" applyAlignment="1" pivotButton="0" quotePrefix="0" xfId="0">
      <alignment horizontal="general" vertical="bottom"/>
    </xf>
    <xf numFmtId="164" fontId="18" fillId="0" borderId="3" applyAlignment="1" pivotButton="0" quotePrefix="0" xfId="0">
      <alignment horizontal="general" vertical="bottom"/>
    </xf>
    <xf numFmtId="172" fontId="18" fillId="0" borderId="3" applyAlignment="1" pivotButton="0" quotePrefix="0" xfId="0">
      <alignment horizontal="general" vertical="bottom"/>
    </xf>
    <xf numFmtId="171" fontId="0" fillId="2" borderId="1" applyAlignment="1" pivotButton="0" quotePrefix="0" xfId="0">
      <alignment horizontal="general" vertical="bottom"/>
    </xf>
    <xf numFmtId="170" fontId="0" fillId="0" borderId="0" pivotButton="0" quotePrefix="0" xfId="0"/>
    <xf numFmtId="172" fontId="0" fillId="0" borderId="0" pivotButton="0" quotePrefix="0" xfId="0"/>
    <xf numFmtId="173" fontId="0" fillId="0" borderId="0" pivotButton="0" quotePrefix="0" xfId="0"/>
    <xf numFmtId="171" fontId="0" fillId="0" borderId="0" pivotButton="0" quotePrefix="0" xfId="0"/>
    <xf numFmtId="170" fontId="18" fillId="3" borderId="3" applyAlignment="1" pivotButton="0" quotePrefix="0" xfId="0">
      <alignment horizontal="center" vertical="center" wrapText="1"/>
    </xf>
    <xf numFmtId="172" fontId="18" fillId="3" borderId="3" applyAlignment="1" pivotButton="0" quotePrefix="0" xfId="0">
      <alignment horizontal="center" vertical="center" wrapText="1"/>
    </xf>
    <xf numFmtId="173" fontId="18" fillId="3" borderId="3" applyAlignment="1" pivotButton="0" quotePrefix="0" xfId="0">
      <alignment horizontal="center" vertical="center" wrapText="1"/>
    </xf>
    <xf numFmtId="171" fontId="18" fillId="3" borderId="3" applyAlignment="1" pivotButton="0" quotePrefix="0" xfId="0">
      <alignment horizontal="center" vertical="center" wrapText="1"/>
    </xf>
    <xf numFmtId="0" fontId="10" fillId="3" borderId="1" applyAlignment="1" pivotButton="0" quotePrefix="0" xfId="0">
      <alignment horizontal="center" vertical="center" wrapText="1"/>
    </xf>
    <xf numFmtId="166" fontId="8" fillId="0" borderId="1" applyAlignment="1" pivotButton="0" quotePrefix="0" xfId="0">
      <alignment horizontal="general" vertical="bottom"/>
    </xf>
    <xf numFmtId="179" fontId="18" fillId="0" borderId="3" applyAlignment="1" pivotButton="0" quotePrefix="0" xfId="0">
      <alignment horizontal="general" vertical="bottom"/>
    </xf>
    <xf numFmtId="177" fontId="18" fillId="0" borderId="3" applyAlignment="1" pivotButton="0" quotePrefix="0" xfId="0">
      <alignment horizontal="general" vertical="bottom"/>
    </xf>
    <xf numFmtId="2" fontId="18" fillId="0" borderId="3" applyAlignment="1" pivotButton="0" quotePrefix="0" xfId="0">
      <alignment horizontal="general" vertical="bottom"/>
    </xf>
    <xf numFmtId="180" fontId="18" fillId="0" borderId="3" applyAlignment="1" pivotButton="0" quotePrefix="0" xfId="0">
      <alignment horizontal="general" vertical="bottom"/>
    </xf>
    <xf numFmtId="0" fontId="0" fillId="2" borderId="1" applyAlignment="1" pivotButton="0" quotePrefix="0" xfId="0">
      <alignment horizontal="general" vertical="bottom"/>
    </xf>
    <xf numFmtId="179" fontId="0" fillId="2" borderId="1" applyAlignment="1" pivotButton="0" quotePrefix="0" xfId="0">
      <alignment horizontal="general" vertical="bottom"/>
    </xf>
    <xf numFmtId="177" fontId="0" fillId="2" borderId="1" applyAlignment="1" pivotButton="0" quotePrefix="0" xfId="0">
      <alignment horizontal="general" vertical="bottom"/>
    </xf>
    <xf numFmtId="170" fontId="18" fillId="2" borderId="3" applyAlignment="1" pivotButton="0" quotePrefix="0" xfId="0">
      <alignment horizontal="general" vertical="bottom"/>
    </xf>
    <xf numFmtId="2" fontId="18" fillId="2" borderId="3" applyAlignment="1" pivotButton="0" quotePrefix="0" xfId="0">
      <alignment horizontal="general" vertical="bottom"/>
    </xf>
    <xf numFmtId="180" fontId="18" fillId="2" borderId="3" applyAlignment="1" pivotButton="0" quotePrefix="0" xfId="0">
      <alignment horizontal="general" vertical="bottom"/>
    </xf>
    <xf numFmtId="170" fontId="31" fillId="0" borderId="4" applyAlignment="1" pivotButton="0" quotePrefix="0" xfId="0">
      <alignment horizontal="left" vertical="center" indent="1"/>
    </xf>
    <xf numFmtId="171" fontId="31" fillId="0" borderId="4" applyAlignment="1" pivotButton="0" quotePrefix="0" xfId="0">
      <alignment horizontal="left" vertical="center" indent="1"/>
    </xf>
    <xf numFmtId="170" fontId="31" fillId="0" borderId="0" applyAlignment="1" pivotButton="0" quotePrefix="0" xfId="0">
      <alignment horizontal="left" vertical="center" indent="1"/>
    </xf>
    <xf numFmtId="170" fontId="32" fillId="0" borderId="3" applyAlignment="1" pivotButton="0" quotePrefix="0" xfId="0">
      <alignment horizontal="right" vertical="center" indent="1"/>
    </xf>
    <xf numFmtId="172" fontId="32" fillId="0" borderId="3" applyAlignment="1" pivotButton="0" quotePrefix="0" xfId="0">
      <alignment horizontal="right" vertical="center" indent="1"/>
    </xf>
    <xf numFmtId="173" fontId="32" fillId="0" borderId="3" applyAlignment="1" pivotButton="0" quotePrefix="0" xfId="0">
      <alignment horizontal="right" vertical="center" indent="1"/>
    </xf>
    <xf numFmtId="171" fontId="32" fillId="0" borderId="3" applyAlignment="1" pivotButton="0" quotePrefix="0" xfId="0">
      <alignment horizontal="right" vertical="center" indent="1"/>
    </xf>
    <xf numFmtId="170" fontId="19" fillId="4" borderId="2" applyAlignment="1" pivotButton="0" quotePrefix="0" xfId="0">
      <alignment horizontal="right" vertical="center" indent="1"/>
    </xf>
    <xf numFmtId="171" fontId="19" fillId="4" borderId="2" applyAlignment="1" pivotButton="0" quotePrefix="0" xfId="0">
      <alignment horizontal="right" vertical="center" indent="1"/>
    </xf>
    <xf numFmtId="170" fontId="18" fillId="0" borderId="3" applyAlignment="1" pivotButton="0" quotePrefix="0" xfId="0">
      <alignment horizontal="right" vertical="center" indent="1"/>
    </xf>
    <xf numFmtId="171" fontId="18" fillId="0" borderId="3" applyAlignment="1" pivotButton="0" quotePrefix="0" xfId="0">
      <alignment horizontal="right" vertical="center" indent="1"/>
    </xf>
    <xf numFmtId="0" fontId="0" fillId="0" borderId="8" pivotButton="0" quotePrefix="0" xfId="0"/>
    <xf numFmtId="0" fontId="0" fillId="0" borderId="7" pivotButton="0" quotePrefix="0" xfId="0"/>
    <xf numFmtId="0" fontId="35" fillId="7" borderId="0" applyAlignment="1" pivotButton="0" quotePrefix="0" xfId="0">
      <alignment horizontal="left" vertical="center" wrapText="1" indent="1"/>
    </xf>
    <xf numFmtId="174" fontId="17" fillId="5" borderId="3" applyAlignment="1" pivotButton="0" quotePrefix="0" xfId="0">
      <alignment horizontal="left" vertical="center" indent="1"/>
    </xf>
    <xf numFmtId="0" fontId="32" fillId="5" borderId="3" applyAlignment="1" pivotButton="0" quotePrefix="0" xfId="0">
      <alignment horizontal="left" vertical="center" indent="1"/>
    </xf>
    <xf numFmtId="175" fontId="17" fillId="5" borderId="3" applyAlignment="1" pivotButton="0" quotePrefix="0" xfId="0">
      <alignment horizontal="center" vertical="center"/>
    </xf>
    <xf numFmtId="176" fontId="18" fillId="0" borderId="3" pivotButton="0" quotePrefix="0" xfId="0"/>
    <xf numFmtId="176" fontId="25" fillId="6" borderId="3" pivotButton="0" quotePrefix="0" xfId="0"/>
    <xf numFmtId="176" fontId="25" fillId="6" borderId="3" applyAlignment="1" pivotButton="0" quotePrefix="0" xfId="0">
      <alignment horizontal="right" vertical="center" indent="1"/>
    </xf>
    <xf numFmtId="0" fontId="0" fillId="0" borderId="11" pivotButton="0" quotePrefix="0" xfId="0"/>
    <xf numFmtId="0" fontId="0" fillId="0" borderId="12" pivotButton="0" quotePrefix="0" xfId="0"/>
    <xf numFmtId="176" fontId="26" fillId="9" borderId="2" applyAlignment="1" pivotButton="0" quotePrefix="0" xfId="0">
      <alignment horizontal="right" vertical="center" indent="1"/>
    </xf>
    <xf numFmtId="177" fontId="18" fillId="0" borderId="3" applyAlignment="1" pivotButton="0" quotePrefix="0" xfId="0">
      <alignment horizontal="right" vertical="center" indent="1"/>
    </xf>
    <xf numFmtId="176" fontId="18" fillId="0" borderId="3" applyAlignment="1" pivotButton="0" quotePrefix="0" xfId="0">
      <alignment horizontal="right" vertical="center" indent="1"/>
    </xf>
    <xf numFmtId="0" fontId="18" fillId="0" borderId="3" applyAlignment="1" pivotButton="0" quotePrefix="0" xfId="0">
      <alignment horizontal="left" vertical="center" indent="1"/>
    </xf>
    <xf numFmtId="0" fontId="18" fillId="0" borderId="3" applyAlignment="1" pivotButton="0" quotePrefix="0" xfId="0">
      <alignment horizontal="right" vertical="center" indent="1"/>
    </xf>
    <xf numFmtId="3" fontId="18" fillId="0" borderId="3" applyAlignment="1" pivotButton="0" quotePrefix="0" xfId="0">
      <alignment horizontal="right" vertical="center" indent="1"/>
    </xf>
    <xf numFmtId="177" fontId="18" fillId="0" borderId="3" applyAlignment="1" pivotButton="0" quotePrefix="0" xfId="0">
      <alignment horizontal="right" vertical="center" indent="1"/>
    </xf>
    <xf numFmtId="176" fontId="18" fillId="0" borderId="3" applyAlignment="1" pivotButton="0" quotePrefix="0" xfId="0">
      <alignment horizontal="right" vertical="center" indent="1"/>
    </xf>
    <xf numFmtId="0" fontId="18" fillId="0" borderId="3" applyAlignment="1" pivotButton="0" quotePrefix="0" xfId="0">
      <alignment horizontal="left" vertical="center" wrapText="1" indent="1"/>
    </xf>
    <xf numFmtId="3" fontId="19" fillId="4" borderId="2" applyAlignment="1" pivotButton="0" quotePrefix="0" xfId="0">
      <alignment horizontal="right" vertical="center" indent="1"/>
    </xf>
    <xf numFmtId="177" fontId="19" fillId="4" borderId="2" applyAlignment="1" pivotButton="0" quotePrefix="0" xfId="0">
      <alignment horizontal="right" vertical="center" indent="1"/>
    </xf>
    <xf numFmtId="0" fontId="13" fillId="10" borderId="0" applyAlignment="1" pivotButton="0" quotePrefix="0" xfId="0">
      <alignment horizontal="left" vertical="center" indent="1"/>
    </xf>
    <xf numFmtId="0" fontId="16" fillId="10" borderId="2" applyAlignment="1" pivotButton="0" quotePrefix="0" xfId="0">
      <alignment horizontal="center" vertical="center" wrapText="1"/>
    </xf>
    <xf numFmtId="175" fontId="18" fillId="0" borderId="3" applyAlignment="1" pivotButton="0" quotePrefix="0" xfId="0">
      <alignment horizontal="right" vertical="center" indent="1"/>
    </xf>
    <xf numFmtId="181" fontId="18" fillId="0" borderId="3" applyAlignment="1" pivotButton="0" quotePrefix="0" xfId="0">
      <alignment horizontal="right" vertical="center" indent="1"/>
    </xf>
    <xf numFmtId="0" fontId="19" fillId="10" borderId="2" applyAlignment="1" pivotButton="0" quotePrefix="0" xfId="0">
      <alignment horizontal="left" vertical="center" indent="1"/>
    </xf>
    <xf numFmtId="3" fontId="19" fillId="10" borderId="2" applyAlignment="1" pivotButton="0" quotePrefix="0" xfId="0">
      <alignment horizontal="right" vertical="center" indent="1"/>
    </xf>
    <xf numFmtId="177" fontId="19" fillId="10" borderId="2" applyAlignment="1" pivotButton="0" quotePrefix="0" xfId="0">
      <alignment horizontal="right" vertical="center" indent="1"/>
    </xf>
    <xf numFmtId="0" fontId="19" fillId="10" borderId="2" applyAlignment="1" pivotButton="0" quotePrefix="0" xfId="0">
      <alignment horizontal="right" vertical="center" indent="1"/>
    </xf>
    <xf numFmtId="171" fontId="19" fillId="10" borderId="2" applyAlignment="1" pivotButton="0" quotePrefix="0" xfId="0">
      <alignment horizontal="right" vertical="center" indent="1"/>
    </xf>
    <xf numFmtId="0" fontId="19" fillId="9" borderId="0" applyAlignment="1" pivotButton="0" quotePrefix="0" xfId="0">
      <alignment horizontal="left" vertical="center" indent="1"/>
    </xf>
    <xf numFmtId="182" fontId="18" fillId="0" borderId="3" applyAlignment="1" pivotButton="0" quotePrefix="0" xfId="0">
      <alignment horizontal="right" vertical="center" indent="1"/>
    </xf>
    <xf numFmtId="177" fontId="17" fillId="5" borderId="3" applyAlignment="1" pivotButton="0" quotePrefix="0" xfId="0">
      <alignment horizontal="general" vertical="bottom"/>
    </xf>
    <xf numFmtId="178" fontId="18" fillId="0" borderId="3" applyAlignment="1" pivotButton="0" quotePrefix="0" xfId="0">
      <alignment horizontal="general" vertical="bottom"/>
    </xf>
    <xf numFmtId="173" fontId="18" fillId="0" borderId="3" applyAlignment="1" pivotButton="0" quotePrefix="0" xfId="0">
      <alignment horizontal="general" vertical="bottom"/>
    </xf>
    <xf numFmtId="179" fontId="17" fillId="5" borderId="3" applyAlignment="1" pivotButton="0" quotePrefix="0" xfId="0">
      <alignment horizontal="general" vertical="bottom"/>
    </xf>
    <xf numFmtId="0" fontId="17" fillId="5" borderId="3" applyAlignment="1" pivotButton="0" quotePrefix="0" xfId="0">
      <alignment horizontal="left" vertical="center" wrapText="1" indent="1"/>
    </xf>
    <xf numFmtId="1" fontId="18" fillId="0" borderId="3" applyAlignment="1" pivotButton="0" quotePrefix="0" xfId="0">
      <alignment horizontal="center" vertical="center" wrapText="1" indent="1"/>
    </xf>
    <xf numFmtId="170" fontId="17" fillId="5" borderId="3" applyAlignment="1" pivotButton="0" quotePrefix="0" xfId="0">
      <alignment horizontal="general" vertical="bottom"/>
    </xf>
    <xf numFmtId="170" fontId="17" fillId="5" borderId="3" pivotButton="0" quotePrefix="0" xfId="0"/>
    <xf numFmtId="172" fontId="17" fillId="5" borderId="3" applyAlignment="1" pivotButton="0" quotePrefix="0" xfId="0">
      <alignment horizontal="general" vertical="bottom"/>
    </xf>
    <xf numFmtId="170" fontId="18" fillId="0" borderId="3" applyAlignment="1" pivotButton="0" quotePrefix="0" xfId="0">
      <alignment horizontal="general" vertical="bottom"/>
    </xf>
    <xf numFmtId="171" fontId="18" fillId="0" borderId="3" applyAlignment="1" pivotButton="0" quotePrefix="0" xfId="0">
      <alignment horizontal="general" vertical="bottom"/>
    </xf>
    <xf numFmtId="170" fontId="19" fillId="4" borderId="2" applyAlignment="1" pivotButton="0" quotePrefix="0" xfId="0">
      <alignment horizontal="right" vertical="center"/>
    </xf>
    <xf numFmtId="173" fontId="18" fillId="0" borderId="3" pivotButton="0" quotePrefix="0" xfId="0"/>
    <xf numFmtId="171" fontId="19" fillId="4" borderId="2" applyAlignment="1" pivotButton="0" quotePrefix="0" xfId="0">
      <alignment horizontal="right" vertical="center"/>
    </xf>
    <xf numFmtId="172" fontId="18" fillId="0" borderId="3" applyAlignment="1" pivotButton="0" quotePrefix="0" xfId="0">
      <alignment horizontal="general" vertical="bottom"/>
    </xf>
    <xf numFmtId="171" fontId="0" fillId="2" borderId="1" applyAlignment="1" pivotButton="0" quotePrefix="0" xfId="0">
      <alignment horizontal="general" vertical="bottom"/>
    </xf>
    <xf numFmtId="170" fontId="0" fillId="0" borderId="0" pivotButton="0" quotePrefix="0" xfId="0"/>
    <xf numFmtId="172" fontId="0" fillId="0" borderId="0" pivotButton="0" quotePrefix="0" xfId="0"/>
    <xf numFmtId="173" fontId="0" fillId="0" borderId="0" pivotButton="0" quotePrefix="0" xfId="0"/>
    <xf numFmtId="171" fontId="0" fillId="0" borderId="0" pivotButton="0" quotePrefix="0" xfId="0"/>
    <xf numFmtId="170" fontId="18" fillId="3" borderId="3" applyAlignment="1" pivotButton="0" quotePrefix="0" xfId="0">
      <alignment horizontal="center" vertical="center" wrapText="1"/>
    </xf>
    <xf numFmtId="172" fontId="18" fillId="3" borderId="3" applyAlignment="1" pivotButton="0" quotePrefix="0" xfId="0">
      <alignment horizontal="center" vertical="center" wrapText="1"/>
    </xf>
    <xf numFmtId="173" fontId="18" fillId="3" borderId="3" applyAlignment="1" pivotButton="0" quotePrefix="0" xfId="0">
      <alignment horizontal="center" vertical="center" wrapText="1"/>
    </xf>
    <xf numFmtId="171" fontId="18" fillId="3" borderId="3" applyAlignment="1" pivotButton="0" quotePrefix="0" xfId="0">
      <alignment horizontal="center" vertical="center" wrapText="1"/>
    </xf>
    <xf numFmtId="179" fontId="18" fillId="0" borderId="3" applyAlignment="1" pivotButton="0" quotePrefix="0" xfId="0">
      <alignment horizontal="general" vertical="bottom"/>
    </xf>
    <xf numFmtId="177" fontId="18" fillId="0" borderId="3" applyAlignment="1" pivotButton="0" quotePrefix="0" xfId="0">
      <alignment horizontal="general" vertical="bottom"/>
    </xf>
    <xf numFmtId="180" fontId="18" fillId="0" borderId="3" applyAlignment="1" pivotButton="0" quotePrefix="0" xfId="0">
      <alignment horizontal="general" vertical="bottom"/>
    </xf>
    <xf numFmtId="179" fontId="0" fillId="2" borderId="1" applyAlignment="1" pivotButton="0" quotePrefix="0" xfId="0">
      <alignment horizontal="general" vertical="bottom"/>
    </xf>
    <xf numFmtId="177" fontId="0" fillId="2" borderId="1" applyAlignment="1" pivotButton="0" quotePrefix="0" xfId="0">
      <alignment horizontal="general" vertical="bottom"/>
    </xf>
    <xf numFmtId="170" fontId="18" fillId="2" borderId="3" applyAlignment="1" pivotButton="0" quotePrefix="0" xfId="0">
      <alignment horizontal="general" vertical="bottom"/>
    </xf>
    <xf numFmtId="180" fontId="18" fillId="2" borderId="3" applyAlignment="1" pivotButton="0" quotePrefix="0" xfId="0">
      <alignment horizontal="general" vertical="bottom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dxfs count="3">
    <dxf>
      <font>
        <name val="Arial"/>
        <b val="1"/>
        <color rgb="00B52D3A"/>
      </font>
      <fill>
        <patternFill patternType="solid">
          <fgColor rgb="00FEE2E2"/>
          <bgColor rgb="00FEE2E2"/>
        </patternFill>
      </fill>
    </dxf>
    <dxf>
      <font>
        <name val="Arial"/>
        <b val="1"/>
        <color rgb="00BF6610"/>
      </font>
      <fill>
        <patternFill patternType="solid">
          <fgColor rgb="00FEF3C7"/>
          <bgColor rgb="00FEF3C7"/>
        </patternFill>
      </fill>
    </dxf>
    <dxf>
      <font>
        <name val="Arial"/>
        <b val="1"/>
        <color rgb="001A7A47"/>
      </font>
      <fill>
        <patternFill patternType="solid">
          <fgColor rgb="00DCFCE7"/>
          <bgColor rgb="00DCFCE7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1A7A47"/>
      <rgbColor rgb="FFC0C0C0"/>
      <rgbColor rgb="FF808080"/>
      <rgbColor rgb="FF9999FF"/>
      <rgbColor rgb="FF993366"/>
      <rgbColor rgb="FFEEF3F9"/>
      <rgbColor rgb="FFCCFFFF"/>
      <rgbColor rgb="FF660066"/>
      <rgbColor rgb="FFFF8080"/>
      <rgbColor rgb="FF0066CC"/>
      <rgbColor rgb="FFD8E3E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4748B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1C2E47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styles" Target="styles.xml" Id="rId11" /><Relationship Type="http://schemas.openxmlformats.org/officeDocument/2006/relationships/theme" Target="theme/theme1.xml" Id="rId12" 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F36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pane ySplit="3" topLeftCell="A4" activePane="bottomLeft" state="frozen"/>
      <selection pane="bottomLeft" activeCell="A1" activeCellId="0" sqref="A1"/>
    </sheetView>
  </sheetViews>
  <sheetFormatPr baseColWidth="8" defaultColWidth="8.6796875" defaultRowHeight="15" customHeight="0" zeroHeight="0" outlineLevelRow="0"/>
  <cols>
    <col width="8" customWidth="1" style="36" min="1" max="1"/>
    <col width="20" customWidth="1" style="36" min="2" max="2"/>
    <col width="20" customWidth="1" style="36" min="3" max="3"/>
    <col width="20" customWidth="1" style="36" min="4" max="4"/>
    <col width="18" customWidth="1" style="37" min="5" max="5"/>
    <col width="14" customWidth="1" style="37" min="6" max="6"/>
  </cols>
  <sheetData>
    <row r="1" ht="44" customHeight="1" s="37">
      <c r="A1" s="38" t="inlineStr">
        <is>
          <t>TABLERO DIRECTIVO — Distribuidora La Aurora</t>
        </is>
      </c>
    </row>
    <row r="2" ht="22" customHeight="1" s="37">
      <c r="A2" s="39" t="inlineStr">
        <is>
          <t>Cada número se calcula de Catálogo, Ventas, Clientes, Inventario y Pedidos. Cambia un dato fuente y el tablero se actualiza solo.</t>
        </is>
      </c>
    </row>
    <row r="3">
      <c r="A3" s="40" t="n"/>
      <c r="B3" s="40" t="n"/>
      <c r="C3" s="40" t="n"/>
      <c r="D3" s="40" t="n"/>
    </row>
    <row r="4" ht="28" customHeight="1" s="37">
      <c r="A4" s="41" t="inlineStr">
        <is>
          <t>CAPÍTULO 1 · EL PULSO DEL MES</t>
        </is>
      </c>
    </row>
    <row r="5" ht="18" customHeight="1" s="37">
      <c r="A5" s="42" t="inlineStr">
        <is>
          <t>Ventas del mes</t>
        </is>
      </c>
      <c r="C5" s="43" t="inlineStr">
        <is>
          <t>Margen promedio</t>
        </is>
      </c>
      <c r="E5" s="44" t="inlineStr">
        <is>
          <t>Utilidad bruta</t>
        </is>
      </c>
    </row>
    <row r="6" ht="32" customHeight="1" s="37">
      <c r="A6" s="146">
        <f>Ventas!E52</f>
        <v/>
      </c>
      <c r="C6" s="147">
        <f>IF(Ventas!E52=0,0,Ventas!I52/Ventas!E52)</f>
        <v/>
      </c>
      <c r="E6" s="148">
        <f>Ventas!I52</f>
        <v/>
      </c>
    </row>
    <row r="7" ht="18" customHeight="1" s="37">
      <c r="A7" s="48" t="inlineStr">
        <is>
          <t>Consolidado 3 razones sociales</t>
        </is>
      </c>
      <c r="C7" s="49" t="inlineStr">
        <is>
          <t>Sobre precio de venta</t>
        </is>
      </c>
      <c r="E7" s="50" t="inlineStr">
        <is>
          <t>Ventas - Costo del mes</t>
        </is>
      </c>
    </row>
    <row r="8" ht="15" customHeight="1" s="37">
      <c r="A8" s="40" t="n"/>
      <c r="B8" s="40" t="n"/>
      <c r="C8" s="51" t="n"/>
      <c r="D8" s="40" t="n"/>
    </row>
    <row r="9" ht="28" customHeight="1" s="37">
      <c r="A9" s="41" t="inlineStr">
        <is>
          <t>CAPÍTULO 2 · DE DÓNDE VIENE EL CRECIMIENTO</t>
        </is>
      </c>
    </row>
    <row r="10" ht="28" customHeight="1" s="37">
      <c r="A10" s="52" t="inlineStr">
        <is>
          <t>Categoría</t>
        </is>
      </c>
      <c r="B10" s="52" t="inlineStr">
        <is>
          <t>Mes anterior</t>
        </is>
      </c>
      <c r="C10" s="52" t="inlineStr">
        <is>
          <t>Mes actual</t>
        </is>
      </c>
      <c r="D10" s="52" t="inlineStr">
        <is>
          <t>Crec. $</t>
        </is>
      </c>
      <c r="E10" s="52" t="inlineStr">
        <is>
          <t>Crec. %</t>
        </is>
      </c>
      <c r="F10" s="52" t="inlineStr">
        <is>
          <t>Contribución</t>
        </is>
      </c>
    </row>
    <row r="11" ht="15" customHeight="1" s="37">
      <c r="A11" s="53">
        <f>Crecimiento!A5</f>
        <v/>
      </c>
      <c r="B11" s="149">
        <f>Crecimiento!B5</f>
        <v/>
      </c>
      <c r="C11" s="149">
        <f>Crecimiento!C5</f>
        <v/>
      </c>
      <c r="D11" s="150">
        <f>Crecimiento!D5</f>
        <v/>
      </c>
      <c r="E11" s="151">
        <f>Crecimiento!E5</f>
        <v/>
      </c>
      <c r="F11" s="152">
        <f>Crecimiento!G5</f>
        <v/>
      </c>
    </row>
    <row r="12" ht="15" customHeight="1" s="37">
      <c r="A12" s="53">
        <f>Crecimiento!A6</f>
        <v/>
      </c>
      <c r="B12" s="149">
        <f>Crecimiento!B6</f>
        <v/>
      </c>
      <c r="C12" s="149">
        <f>Crecimiento!C6</f>
        <v/>
      </c>
      <c r="D12" s="150">
        <f>Crecimiento!D6</f>
        <v/>
      </c>
      <c r="E12" s="151">
        <f>Crecimiento!E6</f>
        <v/>
      </c>
      <c r="F12" s="152">
        <f>Crecimiento!G6</f>
        <v/>
      </c>
    </row>
    <row r="13" ht="15" customHeight="1" s="37">
      <c r="A13" s="53">
        <f>Crecimiento!A7</f>
        <v/>
      </c>
      <c r="B13" s="149">
        <f>Crecimiento!B7</f>
        <v/>
      </c>
      <c r="C13" s="149">
        <f>Crecimiento!C7</f>
        <v/>
      </c>
      <c r="D13" s="150">
        <f>Crecimiento!D7</f>
        <v/>
      </c>
      <c r="E13" s="151">
        <f>Crecimiento!E7</f>
        <v/>
      </c>
      <c r="F13" s="152">
        <f>Crecimiento!G7</f>
        <v/>
      </c>
    </row>
    <row r="14" ht="15" customHeight="1" s="37">
      <c r="A14" s="58" t="inlineStr">
        <is>
          <t>TOTAL</t>
        </is>
      </c>
      <c r="B14" s="153">
        <f>Crecimiento!B8</f>
        <v/>
      </c>
      <c r="C14" s="153">
        <f>Crecimiento!C8</f>
        <v/>
      </c>
      <c r="D14" s="153">
        <f>Crecimiento!D8</f>
        <v/>
      </c>
      <c r="E14" s="154">
        <f>Crecimiento!E8</f>
        <v/>
      </c>
      <c r="F14" s="61" t="n"/>
    </row>
    <row r="15">
      <c r="A15" s="40" t="n"/>
      <c r="B15" s="40" t="n"/>
      <c r="C15" s="40" t="n"/>
      <c r="D15" s="40" t="n"/>
    </row>
    <row r="16" ht="28" customHeight="1" s="37">
      <c r="A16" s="41" t="inlineStr">
        <is>
          <t>CAPÍTULO 3 · EL INVENTARIO QUE RESPIRA</t>
        </is>
      </c>
    </row>
    <row r="17" ht="18" customHeight="1" s="37">
      <c r="A17" s="42" t="inlineStr">
        <is>
          <t>SKUs en catálogo</t>
        </is>
      </c>
      <c r="C17" s="42" t="inlineStr">
        <is>
          <t>Productos en alerta</t>
        </is>
      </c>
      <c r="E17" s="44" t="inlineStr">
        <is>
          <t>Inventario valorizado</t>
        </is>
      </c>
    </row>
    <row r="18" ht="32" customHeight="1" s="37">
      <c r="A18" s="62">
        <f>COUNTA(Catálogo!A5:A51)</f>
        <v/>
      </c>
      <c r="C18" s="63">
        <f>COUNTIF(Catálogo!L5:L51,"&lt;&gt;OK")</f>
        <v/>
      </c>
      <c r="E18" s="148">
        <f>SUMPRODUCT(Catálogo!J5:J51,Catálogo!E5:E51)</f>
        <v/>
      </c>
    </row>
    <row r="19">
      <c r="A19" s="40" t="n"/>
      <c r="B19" s="40" t="n"/>
      <c r="C19" s="40" t="n"/>
      <c r="D19" s="40" t="n"/>
    </row>
    <row r="20" ht="28" customHeight="1" s="37">
      <c r="A20" s="41" t="inlineStr">
        <is>
          <t>CAPÍTULO 4 · TOP 5 CLIENTES DEL MES</t>
        </is>
      </c>
    </row>
    <row r="21" ht="28" customHeight="1" s="37">
      <c r="A21" s="52" t="inlineStr">
        <is>
          <t>#</t>
        </is>
      </c>
      <c r="B21" s="64" t="inlineStr">
        <is>
          <t>Cliente</t>
        </is>
      </c>
      <c r="C21" s="64" t="inlineStr">
        <is>
          <t>Tipo</t>
        </is>
      </c>
      <c r="D21" s="52" t="inlineStr">
        <is>
          <t>Productos</t>
        </is>
      </c>
      <c r="E21" s="52" t="inlineStr">
        <is>
          <t>Ingreso</t>
        </is>
      </c>
      <c r="F21" s="52" t="inlineStr">
        <is>
          <t>% Total</t>
        </is>
      </c>
    </row>
    <row r="22" ht="15" customHeight="1" s="37">
      <c r="A22" s="65" t="n">
        <v>1</v>
      </c>
      <c r="B22" s="66" t="inlineStr">
        <is>
          <t>Hotel Plaza Sur</t>
        </is>
      </c>
      <c r="C22" s="66" t="inlineStr">
        <is>
          <t>Hotel</t>
        </is>
      </c>
      <c r="D22" s="67" t="n">
        <v>12</v>
      </c>
      <c r="E22" s="155" t="n">
        <v>14820</v>
      </c>
      <c r="F22" s="156" t="n">
        <v>0.06900000000000001</v>
      </c>
    </row>
    <row r="23" ht="15" customHeight="1" s="37">
      <c r="A23" s="65" t="n">
        <v>2</v>
      </c>
      <c r="B23" s="66" t="inlineStr">
        <is>
          <t>Restaurante El Fogón</t>
        </is>
      </c>
      <c r="C23" s="66" t="inlineStr">
        <is>
          <t>Restaurante</t>
        </is>
      </c>
      <c r="D23" s="67" t="n">
        <v>9</v>
      </c>
      <c r="E23" s="155" t="n">
        <v>11240</v>
      </c>
      <c r="F23" s="156" t="n">
        <v>0.052</v>
      </c>
    </row>
    <row r="24" ht="15" customHeight="1" s="37">
      <c r="A24" s="65" t="n">
        <v>3</v>
      </c>
      <c r="B24" s="66" t="inlineStr">
        <is>
          <t>Hotel Mibani</t>
        </is>
      </c>
      <c r="C24" s="66" t="inlineStr">
        <is>
          <t>Hotel</t>
        </is>
      </c>
      <c r="D24" s="67" t="n">
        <v>11</v>
      </c>
      <c r="E24" s="155" t="n">
        <v>10380</v>
      </c>
      <c r="F24" s="156" t="n">
        <v>0.048</v>
      </c>
    </row>
    <row r="25" ht="15" customHeight="1" s="37">
      <c r="A25" s="65" t="n">
        <v>4</v>
      </c>
      <c r="B25" s="66" t="inlineStr">
        <is>
          <t>Mercado Roma — Local 12</t>
        </is>
      </c>
      <c r="C25" s="66" t="inlineStr">
        <is>
          <t>Retail</t>
        </is>
      </c>
      <c r="D25" s="67" t="n">
        <v>8</v>
      </c>
      <c r="E25" s="155" t="n">
        <v>9120</v>
      </c>
      <c r="F25" s="156" t="n">
        <v>0.042</v>
      </c>
    </row>
    <row r="26" ht="15" customHeight="1" s="37">
      <c r="A26" s="65" t="n">
        <v>5</v>
      </c>
      <c r="B26" s="66" t="inlineStr">
        <is>
          <t>Cafetería Central</t>
        </is>
      </c>
      <c r="C26" s="66" t="inlineStr">
        <is>
          <t>Cafetería</t>
        </is>
      </c>
      <c r="D26" s="67" t="n">
        <v>7</v>
      </c>
      <c r="E26" s="155" t="n">
        <v>7980</v>
      </c>
      <c r="F26" s="156" t="n">
        <v>0.037</v>
      </c>
    </row>
    <row r="27">
      <c r="A27" s="40" t="n"/>
      <c r="B27" s="40" t="n"/>
      <c r="C27" s="40" t="n"/>
      <c r="D27" s="40" t="n"/>
    </row>
    <row r="28" ht="28" customHeight="1" s="37">
      <c r="A28" s="41" t="inlineStr">
        <is>
          <t>CAPÍTULO 5 · ACCIONES RECOMENDADAS ESTA SEMANA</t>
        </is>
      </c>
    </row>
    <row r="29" ht="36" customHeight="1" s="37">
      <c r="A29" s="70" t="inlineStr">
        <is>
          <t>1.</t>
        </is>
      </c>
      <c r="B29" s="71" t="inlineStr">
        <is>
          <t>Surtir SKUs agotados</t>
        </is>
      </c>
      <c r="C29" s="157" t="n"/>
      <c r="D29" s="72" t="inlineStr">
        <is>
          <t>Salchicha de pavo (EMB-002) y queso manchego (LAC-003) tienen 0 unidades. Pedir al proveedor mañana.</t>
        </is>
      </c>
      <c r="E29" s="158" t="n"/>
      <c r="F29" s="157" t="n"/>
    </row>
    <row r="30" ht="36" customHeight="1" s="37">
      <c r="A30" s="70" t="inlineStr">
        <is>
          <t>2.</t>
        </is>
      </c>
      <c r="B30" s="71" t="inlineStr">
        <is>
          <t>Liquidar sobrestock</t>
        </is>
      </c>
      <c r="C30" s="157" t="n"/>
      <c r="D30" s="72" t="inlineStr">
        <is>
          <t>Aceite vegetal 1L (ABA-002) tiene 96 unidades — cobertura &gt; 60 días. Promoción 2x1 al canal HORECA.</t>
        </is>
      </c>
      <c r="E30" s="158" t="n"/>
      <c r="F30" s="157" t="n"/>
    </row>
    <row r="31" ht="36" customHeight="1" s="37">
      <c r="A31" s="70" t="inlineStr">
        <is>
          <t>3.</t>
        </is>
      </c>
      <c r="B31" s="71" t="inlineStr">
        <is>
          <t>Revisar precio queso Oaxaca</t>
        </is>
      </c>
      <c r="C31" s="157" t="n"/>
      <c r="D31" s="72" t="inlineStr">
        <is>
          <t>Proveedor subió 8% el costo. Si no ajustas precio público en 5 días, el margen pasa de 19% a 12%.</t>
        </is>
      </c>
      <c r="E31" s="158" t="n"/>
      <c r="F31" s="157" t="n"/>
    </row>
    <row r="32" ht="36" customHeight="1" s="37">
      <c r="A32" s="70" t="inlineStr">
        <is>
          <t>4.</t>
        </is>
      </c>
      <c r="B32" s="71" t="inlineStr">
        <is>
          <t>Cobrar a Catering Romántico</t>
        </is>
      </c>
      <c r="C32" s="157" t="n"/>
      <c r="D32" s="72" t="inlineStr">
        <is>
          <t>Cartera vencida &gt; 90 días, $74K. Última oportunidad antes de pasar a jurídico.</t>
        </is>
      </c>
      <c r="E32" s="158" t="n"/>
      <c r="F32" s="157" t="n"/>
    </row>
    <row r="33" ht="36" customHeight="1" s="37">
      <c r="A33" s="70" t="inlineStr">
        <is>
          <t>5.</t>
        </is>
      </c>
      <c r="B33" s="71" t="inlineStr">
        <is>
          <t>Capacitar al equipo en pedidos</t>
        </is>
      </c>
      <c r="C33" s="157" t="n"/>
      <c r="D33" s="72" t="inlineStr">
        <is>
          <t>Habilitar el formulario en hoja 'Pedidos' para captura desde el mostrador. Reduce errores 80%.</t>
        </is>
      </c>
      <c r="E33" s="158" t="n"/>
      <c r="F33" s="157" t="n"/>
    </row>
    <row r="34">
      <c r="A34" s="40" t="n"/>
      <c r="B34" s="40" t="n"/>
      <c r="C34" s="40" t="n"/>
      <c r="D34" s="40" t="n"/>
    </row>
    <row r="35" ht="28" customHeight="1" s="37">
      <c r="A35" s="41" t="inlineStr">
        <is>
          <t>CAPÍTULO 6 · QUÉ COMPRA CADA CLIENTE</t>
        </is>
      </c>
    </row>
    <row r="36" ht="42" customHeight="1" s="37">
      <c r="A36" s="159" t="inlineStr">
        <is>
          <t>Ve la hoja 'Análisis Cliente' — tabla pivote automática: cuántos pedidos hizo cada cliente, cuánto gastó, ticket promedio y última compra. Cada vez que captures un pedido en 'Histórico', el análisis se actualiza solo.</t>
        </is>
      </c>
    </row>
  </sheetData>
  <mergeCells count="34">
    <mergeCell ref="A16:F16"/>
    <mergeCell ref="C6:D6"/>
    <mergeCell ref="D32:F32"/>
    <mergeCell ref="C5:D5"/>
    <mergeCell ref="E5:F5"/>
    <mergeCell ref="B31:C31"/>
    <mergeCell ref="E17:F17"/>
    <mergeCell ref="A6:B6"/>
    <mergeCell ref="A2:F2"/>
    <mergeCell ref="A7:B7"/>
    <mergeCell ref="A35:F35"/>
    <mergeCell ref="A4:F4"/>
    <mergeCell ref="A20:F20"/>
    <mergeCell ref="D30:F30"/>
    <mergeCell ref="A18:B18"/>
    <mergeCell ref="D33:F33"/>
    <mergeCell ref="E6:F6"/>
    <mergeCell ref="A28:F28"/>
    <mergeCell ref="B29:C29"/>
    <mergeCell ref="D29:F29"/>
    <mergeCell ref="A9:F9"/>
    <mergeCell ref="A5:B5"/>
    <mergeCell ref="A17:B17"/>
    <mergeCell ref="C17:D17"/>
    <mergeCell ref="B30:C30"/>
    <mergeCell ref="C7:D7"/>
    <mergeCell ref="B33:C33"/>
    <mergeCell ref="A36:F36"/>
    <mergeCell ref="E7:F7"/>
    <mergeCell ref="D31:F31"/>
    <mergeCell ref="A1:F1"/>
    <mergeCell ref="B32:C32"/>
    <mergeCell ref="C18:D18"/>
    <mergeCell ref="E18:F18"/>
  </mergeCell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10.xml><?xml version="1.0" encoding="utf-8"?>
<worksheet xmlns="http://schemas.openxmlformats.org/spreadsheetml/2006/main">
  <sheetPr filterMode="0">
    <outlinePr summaryBelow="1" summaryRight="1"/>
    <pageSetUpPr fitToPage="0"/>
  </sheetPr>
  <dimension ref="A1:K52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pane ySplit="4" topLeftCell="A5" activePane="bottomLeft" state="frozen"/>
      <selection pane="bottomLeft" activeCell="A1" activeCellId="0" sqref="A1"/>
    </sheetView>
  </sheetViews>
  <sheetFormatPr baseColWidth="8" defaultColWidth="8.6796875" defaultRowHeight="15" customHeight="0" zeroHeight="0" outlineLevelRow="0"/>
  <cols>
    <col width="11" customWidth="1" style="36" min="1" max="1"/>
    <col width="34" customWidth="1" style="36" min="2" max="2"/>
    <col width="13" customWidth="1" style="36" min="3" max="3"/>
    <col width="11" customWidth="1" style="36" min="4" max="5"/>
    <col width="12" customWidth="1" style="37" min="5" max="5"/>
    <col width="13" customWidth="1" style="36" min="6" max="6"/>
    <col width="11" customWidth="1" style="36" min="7" max="7"/>
    <col width="13" customWidth="1" style="36" min="8" max="8"/>
    <col width="14" customWidth="1" style="36" min="9" max="9"/>
    <col width="11" customWidth="1" style="36" min="10" max="10"/>
    <col width="13" customWidth="1" style="36" min="11" max="11"/>
  </cols>
  <sheetData>
    <row r="1" ht="32" customHeight="1" s="37">
      <c r="A1" s="91" t="inlineStr">
        <is>
          <t>Inventario — Rotación y Días de Inventario</t>
        </is>
      </c>
    </row>
    <row r="2" ht="22" customHeight="1" s="37">
      <c r="A2" s="74" t="inlineStr">
        <is>
          <t>Inventario inicial es dato de entrada (azul). Rotación = Costo de Ventas ÷ Inventario Promedio. Días = 30 ÷ Rotación.</t>
        </is>
      </c>
    </row>
    <row r="4" ht="32" customHeight="1" s="37">
      <c r="A4" s="52" t="inlineStr">
        <is>
          <t>SKU</t>
        </is>
      </c>
      <c r="B4" s="52" t="inlineStr">
        <is>
          <t>Producto</t>
        </is>
      </c>
      <c r="C4" s="52" t="inlineStr">
        <is>
          <t>Categoría</t>
        </is>
      </c>
      <c r="D4" s="52" t="inlineStr">
        <is>
          <t>Stock Actual</t>
        </is>
      </c>
      <c r="E4" s="52" t="inlineStr">
        <is>
          <t>Costo Unit.</t>
        </is>
      </c>
      <c r="F4" s="52" t="inlineStr">
        <is>
          <t>Inv. Valorizado</t>
        </is>
      </c>
      <c r="G4" s="52" t="inlineStr">
        <is>
          <t>Inv. Inicial</t>
        </is>
      </c>
      <c r="H4" s="52" t="inlineStr">
        <is>
          <t>Inv. Promedio</t>
        </is>
      </c>
      <c r="I4" s="52" t="inlineStr">
        <is>
          <t>Costo de Ventas Mes</t>
        </is>
      </c>
      <c r="J4" s="52" t="inlineStr">
        <is>
          <t>Rotación (veces/mes)</t>
        </is>
      </c>
      <c r="K4" s="52" t="inlineStr">
        <is>
          <t>Días de Inventario</t>
        </is>
      </c>
    </row>
    <row r="5" ht="15" customHeight="1" s="37">
      <c r="A5" s="97" t="inlineStr">
        <is>
          <t>LAC-001</t>
        </is>
      </c>
      <c r="B5" s="103">
        <f>VLOOKUP(A5,Catálogo!$A$5:$L$51,2,0)</f>
        <v/>
      </c>
      <c r="C5" s="103">
        <f>VLOOKUP(A5,Catálogo!$A$5:$L$51,3,0)</f>
        <v/>
      </c>
      <c r="D5" s="214">
        <f>VLOOKUP(A5,Catálogo!$A$5:$L$51,10,0)</f>
        <v/>
      </c>
      <c r="E5" s="215">
        <f>VLOOKUP(A5,Catálogo!$A$5:$L$51,5,0)</f>
        <v/>
      </c>
      <c r="F5" s="199">
        <f>D5*E5</f>
        <v/>
      </c>
      <c r="G5" s="196" t="n">
        <v>630</v>
      </c>
      <c r="H5" s="199">
        <f>(F5+G5)/2</f>
        <v/>
      </c>
      <c r="I5" s="199">
        <f>VLOOKUP(A5,Ventas!$A$5:$K$51,8,0)</f>
        <v/>
      </c>
      <c r="J5" s="138">
        <f>IF(H5=0,0,I5/H5)</f>
        <v/>
      </c>
      <c r="K5" s="216">
        <f>IF(J5=0,0,30/J5)</f>
        <v/>
      </c>
    </row>
    <row r="6" ht="15" customHeight="1" s="37">
      <c r="A6" s="97" t="inlineStr">
        <is>
          <t>LAC-002</t>
        </is>
      </c>
      <c r="B6" s="103">
        <f>VLOOKUP(A6,Catálogo!$A$5:$L$51,2,0)</f>
        <v/>
      </c>
      <c r="C6" s="103">
        <f>VLOOKUP(A6,Catálogo!$A$5:$L$51,3,0)</f>
        <v/>
      </c>
      <c r="D6" s="214">
        <f>VLOOKUP(A6,Catálogo!$A$5:$L$51,10,0)</f>
        <v/>
      </c>
      <c r="E6" s="215">
        <f>VLOOKUP(A6,Catálogo!$A$5:$L$51,5,0)</f>
        <v/>
      </c>
      <c r="F6" s="199">
        <f>D6*E6</f>
        <v/>
      </c>
      <c r="G6" s="196" t="n">
        <v>8880</v>
      </c>
      <c r="H6" s="199">
        <f>(F6+G6)/2</f>
        <v/>
      </c>
      <c r="I6" s="199">
        <f>VLOOKUP(A6,Ventas!$A$5:$K$51,8,0)</f>
        <v/>
      </c>
      <c r="J6" s="138">
        <f>IF(H6=0,0,I6/H6)</f>
        <v/>
      </c>
      <c r="K6" s="216">
        <f>IF(J6=0,0,30/J6)</f>
        <v/>
      </c>
    </row>
    <row r="7" ht="15" customHeight="1" s="37">
      <c r="A7" s="97" t="inlineStr">
        <is>
          <t>LAC-003</t>
        </is>
      </c>
      <c r="B7" s="103">
        <f>VLOOKUP(A7,Catálogo!$A$5:$L$51,2,0)</f>
        <v/>
      </c>
      <c r="C7" s="103">
        <f>VLOOKUP(A7,Catálogo!$A$5:$L$51,3,0)</f>
        <v/>
      </c>
      <c r="D7" s="214">
        <f>VLOOKUP(A7,Catálogo!$A$5:$L$51,10,0)</f>
        <v/>
      </c>
      <c r="E7" s="215">
        <f>VLOOKUP(A7,Catálogo!$A$5:$L$51,5,0)</f>
        <v/>
      </c>
      <c r="F7" s="199">
        <f>D7*E7</f>
        <v/>
      </c>
      <c r="G7" s="196" t="n">
        <v>0</v>
      </c>
      <c r="H7" s="199">
        <f>(F7+G7)/2</f>
        <v/>
      </c>
      <c r="I7" s="199">
        <f>VLOOKUP(A7,Ventas!$A$5:$K$51,8,0)</f>
        <v/>
      </c>
      <c r="J7" s="138">
        <f>IF(H7=0,0,I7/H7)</f>
        <v/>
      </c>
      <c r="K7" s="216">
        <f>IF(J7=0,0,30/J7)</f>
        <v/>
      </c>
    </row>
    <row r="8" ht="15" customHeight="1" s="37">
      <c r="A8" s="97" t="inlineStr">
        <is>
          <t>LAC-004</t>
        </is>
      </c>
      <c r="B8" s="103">
        <f>VLOOKUP(A8,Catálogo!$A$5:$L$51,2,0)</f>
        <v/>
      </c>
      <c r="C8" s="103">
        <f>VLOOKUP(A8,Catálogo!$A$5:$L$51,3,0)</f>
        <v/>
      </c>
      <c r="D8" s="214">
        <f>VLOOKUP(A8,Catálogo!$A$5:$L$51,10,0)</f>
        <v/>
      </c>
      <c r="E8" s="215">
        <f>VLOOKUP(A8,Catálogo!$A$5:$L$51,5,0)</f>
        <v/>
      </c>
      <c r="F8" s="199">
        <f>D8*E8</f>
        <v/>
      </c>
      <c r="G8" s="196" t="n">
        <v>4270</v>
      </c>
      <c r="H8" s="199">
        <f>(F8+G8)/2</f>
        <v/>
      </c>
      <c r="I8" s="199">
        <f>VLOOKUP(A8,Ventas!$A$5:$K$51,8,0)</f>
        <v/>
      </c>
      <c r="J8" s="138">
        <f>IF(H8=0,0,I8/H8)</f>
        <v/>
      </c>
      <c r="K8" s="216">
        <f>IF(J8=0,0,30/J8)</f>
        <v/>
      </c>
    </row>
    <row r="9" ht="15" customHeight="1" s="37">
      <c r="A9" s="97" t="inlineStr">
        <is>
          <t>LAC-005</t>
        </is>
      </c>
      <c r="B9" s="103">
        <f>VLOOKUP(A9,Catálogo!$A$5:$L$51,2,0)</f>
        <v/>
      </c>
      <c r="C9" s="103">
        <f>VLOOKUP(A9,Catálogo!$A$5:$L$51,3,0)</f>
        <v/>
      </c>
      <c r="D9" s="214">
        <f>VLOOKUP(A9,Catálogo!$A$5:$L$51,10,0)</f>
        <v/>
      </c>
      <c r="E9" s="215">
        <f>VLOOKUP(A9,Catálogo!$A$5:$L$51,5,0)</f>
        <v/>
      </c>
      <c r="F9" s="199">
        <f>D9*E9</f>
        <v/>
      </c>
      <c r="G9" s="196" t="n">
        <v>5140</v>
      </c>
      <c r="H9" s="199">
        <f>(F9+G9)/2</f>
        <v/>
      </c>
      <c r="I9" s="199">
        <f>VLOOKUP(A9,Ventas!$A$5:$K$51,8,0)</f>
        <v/>
      </c>
      <c r="J9" s="138">
        <f>IF(H9=0,0,I9/H9)</f>
        <v/>
      </c>
      <c r="K9" s="216">
        <f>IF(J9=0,0,30/J9)</f>
        <v/>
      </c>
    </row>
    <row r="10" ht="15" customHeight="1" s="37">
      <c r="A10" s="97" t="inlineStr">
        <is>
          <t>LAC-006</t>
        </is>
      </c>
      <c r="B10" s="103">
        <f>VLOOKUP(A10,Catálogo!$A$5:$L$51,2,0)</f>
        <v/>
      </c>
      <c r="C10" s="103">
        <f>VLOOKUP(A10,Catálogo!$A$5:$L$51,3,0)</f>
        <v/>
      </c>
      <c r="D10" s="214">
        <f>VLOOKUP(A10,Catálogo!$A$5:$L$51,10,0)</f>
        <v/>
      </c>
      <c r="E10" s="215">
        <f>VLOOKUP(A10,Catálogo!$A$5:$L$51,5,0)</f>
        <v/>
      </c>
      <c r="F10" s="199">
        <f>D10*E10</f>
        <v/>
      </c>
      <c r="G10" s="196" t="n">
        <v>3360</v>
      </c>
      <c r="H10" s="199">
        <f>(F10+G10)/2</f>
        <v/>
      </c>
      <c r="I10" s="199">
        <f>VLOOKUP(A10,Ventas!$A$5:$K$51,8,0)</f>
        <v/>
      </c>
      <c r="J10" s="138">
        <f>IF(H10=0,0,I10/H10)</f>
        <v/>
      </c>
      <c r="K10" s="216">
        <f>IF(J10=0,0,30/J10)</f>
        <v/>
      </c>
    </row>
    <row r="11" ht="15" customHeight="1" s="37">
      <c r="A11" s="97" t="inlineStr">
        <is>
          <t>LAC-007</t>
        </is>
      </c>
      <c r="B11" s="103">
        <f>VLOOKUP(A11,Catálogo!$A$5:$L$51,2,0)</f>
        <v/>
      </c>
      <c r="C11" s="103">
        <f>VLOOKUP(A11,Catálogo!$A$5:$L$51,3,0)</f>
        <v/>
      </c>
      <c r="D11" s="214">
        <f>VLOOKUP(A11,Catálogo!$A$5:$L$51,10,0)</f>
        <v/>
      </c>
      <c r="E11" s="215">
        <f>VLOOKUP(A11,Catálogo!$A$5:$L$51,5,0)</f>
        <v/>
      </c>
      <c r="F11" s="199">
        <f>D11*E11</f>
        <v/>
      </c>
      <c r="G11" s="196" t="n">
        <v>290</v>
      </c>
      <c r="H11" s="199">
        <f>(F11+G11)/2</f>
        <v/>
      </c>
      <c r="I11" s="199">
        <f>VLOOKUP(A11,Ventas!$A$5:$K$51,8,0)</f>
        <v/>
      </c>
      <c r="J11" s="138">
        <f>IF(H11=0,0,I11/H11)</f>
        <v/>
      </c>
      <c r="K11" s="216">
        <f>IF(J11=0,0,30/J11)</f>
        <v/>
      </c>
    </row>
    <row r="12" ht="15" customHeight="1" s="37">
      <c r="A12" s="97" t="inlineStr">
        <is>
          <t>LAC-008</t>
        </is>
      </c>
      <c r="B12" s="103">
        <f>VLOOKUP(A12,Catálogo!$A$5:$L$51,2,0)</f>
        <v/>
      </c>
      <c r="C12" s="103">
        <f>VLOOKUP(A12,Catálogo!$A$5:$L$51,3,0)</f>
        <v/>
      </c>
      <c r="D12" s="214">
        <f>VLOOKUP(A12,Catálogo!$A$5:$L$51,10,0)</f>
        <v/>
      </c>
      <c r="E12" s="215">
        <f>VLOOKUP(A12,Catálogo!$A$5:$L$51,5,0)</f>
        <v/>
      </c>
      <c r="F12" s="199">
        <f>D12*E12</f>
        <v/>
      </c>
      <c r="G12" s="196" t="n">
        <v>690</v>
      </c>
      <c r="H12" s="199">
        <f>(F12+G12)/2</f>
        <v/>
      </c>
      <c r="I12" s="199">
        <f>VLOOKUP(A12,Ventas!$A$5:$K$51,8,0)</f>
        <v/>
      </c>
      <c r="J12" s="138">
        <f>IF(H12=0,0,I12/H12)</f>
        <v/>
      </c>
      <c r="K12" s="216">
        <f>IF(J12=0,0,30/J12)</f>
        <v/>
      </c>
    </row>
    <row r="13" ht="15" customHeight="1" s="37">
      <c r="A13" s="97" t="inlineStr">
        <is>
          <t>LAC-009</t>
        </is>
      </c>
      <c r="B13" s="103">
        <f>VLOOKUP(A13,Catálogo!$A$5:$L$51,2,0)</f>
        <v/>
      </c>
      <c r="C13" s="103">
        <f>VLOOKUP(A13,Catálogo!$A$5:$L$51,3,0)</f>
        <v/>
      </c>
      <c r="D13" s="214">
        <f>VLOOKUP(A13,Catálogo!$A$5:$L$51,10,0)</f>
        <v/>
      </c>
      <c r="E13" s="215">
        <f>VLOOKUP(A13,Catálogo!$A$5:$L$51,5,0)</f>
        <v/>
      </c>
      <c r="F13" s="199">
        <f>D13*E13</f>
        <v/>
      </c>
      <c r="G13" s="196" t="n">
        <v>520</v>
      </c>
      <c r="H13" s="199">
        <f>(F13+G13)/2</f>
        <v/>
      </c>
      <c r="I13" s="199">
        <f>VLOOKUP(A13,Ventas!$A$5:$K$51,8,0)</f>
        <v/>
      </c>
      <c r="J13" s="138">
        <f>IF(H13=0,0,I13/H13)</f>
        <v/>
      </c>
      <c r="K13" s="216">
        <f>IF(J13=0,0,30/J13)</f>
        <v/>
      </c>
    </row>
    <row r="14" ht="15" customHeight="1" s="37">
      <c r="A14" s="97" t="inlineStr">
        <is>
          <t>LAC-010</t>
        </is>
      </c>
      <c r="B14" s="103">
        <f>VLOOKUP(A14,Catálogo!$A$5:$L$51,2,0)</f>
        <v/>
      </c>
      <c r="C14" s="103">
        <f>VLOOKUP(A14,Catálogo!$A$5:$L$51,3,0)</f>
        <v/>
      </c>
      <c r="D14" s="214">
        <f>VLOOKUP(A14,Catálogo!$A$5:$L$51,10,0)</f>
        <v/>
      </c>
      <c r="E14" s="215">
        <f>VLOOKUP(A14,Catálogo!$A$5:$L$51,5,0)</f>
        <v/>
      </c>
      <c r="F14" s="199">
        <f>D14*E14</f>
        <v/>
      </c>
      <c r="G14" s="196" t="n">
        <v>3860</v>
      </c>
      <c r="H14" s="199">
        <f>(F14+G14)/2</f>
        <v/>
      </c>
      <c r="I14" s="199">
        <f>VLOOKUP(A14,Ventas!$A$5:$K$51,8,0)</f>
        <v/>
      </c>
      <c r="J14" s="138">
        <f>IF(H14=0,0,I14/H14)</f>
        <v/>
      </c>
      <c r="K14" s="216">
        <f>IF(J14=0,0,30/J14)</f>
        <v/>
      </c>
    </row>
    <row r="15" ht="15" customHeight="1" s="37">
      <c r="A15" s="97" t="inlineStr">
        <is>
          <t>LAC-011</t>
        </is>
      </c>
      <c r="B15" s="103">
        <f>VLOOKUP(A15,Catálogo!$A$5:$L$51,2,0)</f>
        <v/>
      </c>
      <c r="C15" s="103">
        <f>VLOOKUP(A15,Catálogo!$A$5:$L$51,3,0)</f>
        <v/>
      </c>
      <c r="D15" s="214">
        <f>VLOOKUP(A15,Catálogo!$A$5:$L$51,10,0)</f>
        <v/>
      </c>
      <c r="E15" s="215">
        <f>VLOOKUP(A15,Catálogo!$A$5:$L$51,5,0)</f>
        <v/>
      </c>
      <c r="F15" s="199">
        <f>D15*E15</f>
        <v/>
      </c>
      <c r="G15" s="196" t="n">
        <v>4150</v>
      </c>
      <c r="H15" s="199">
        <f>(F15+G15)/2</f>
        <v/>
      </c>
      <c r="I15" s="199">
        <f>VLOOKUP(A15,Ventas!$A$5:$K$51,8,0)</f>
        <v/>
      </c>
      <c r="J15" s="138">
        <f>IF(H15=0,0,I15/H15)</f>
        <v/>
      </c>
      <c r="K15" s="216">
        <f>IF(J15=0,0,30/J15)</f>
        <v/>
      </c>
    </row>
    <row r="16" ht="15" customHeight="1" s="37">
      <c r="A16" s="97" t="inlineStr">
        <is>
          <t>LAC-012</t>
        </is>
      </c>
      <c r="B16" s="103">
        <f>VLOOKUP(A16,Catálogo!$A$5:$L$51,2,0)</f>
        <v/>
      </c>
      <c r="C16" s="103">
        <f>VLOOKUP(A16,Catálogo!$A$5:$L$51,3,0)</f>
        <v/>
      </c>
      <c r="D16" s="214">
        <f>VLOOKUP(A16,Catálogo!$A$5:$L$51,10,0)</f>
        <v/>
      </c>
      <c r="E16" s="215">
        <f>VLOOKUP(A16,Catálogo!$A$5:$L$51,5,0)</f>
        <v/>
      </c>
      <c r="F16" s="199">
        <f>D16*E16</f>
        <v/>
      </c>
      <c r="G16" s="196" t="n">
        <v>12130</v>
      </c>
      <c r="H16" s="199">
        <f>(F16+G16)/2</f>
        <v/>
      </c>
      <c r="I16" s="199">
        <f>VLOOKUP(A16,Ventas!$A$5:$K$51,8,0)</f>
        <v/>
      </c>
      <c r="J16" s="138">
        <f>IF(H16=0,0,I16/H16)</f>
        <v/>
      </c>
      <c r="K16" s="216">
        <f>IF(J16=0,0,30/J16)</f>
        <v/>
      </c>
    </row>
    <row r="17" ht="15" customHeight="1" s="37">
      <c r="A17" s="97" t="inlineStr">
        <is>
          <t>LAC-013</t>
        </is>
      </c>
      <c r="B17" s="103">
        <f>VLOOKUP(A17,Catálogo!$A$5:$L$51,2,0)</f>
        <v/>
      </c>
      <c r="C17" s="103">
        <f>VLOOKUP(A17,Catálogo!$A$5:$L$51,3,0)</f>
        <v/>
      </c>
      <c r="D17" s="214">
        <f>VLOOKUP(A17,Catálogo!$A$5:$L$51,10,0)</f>
        <v/>
      </c>
      <c r="E17" s="215">
        <f>VLOOKUP(A17,Catálogo!$A$5:$L$51,5,0)</f>
        <v/>
      </c>
      <c r="F17" s="199">
        <f>D17*E17</f>
        <v/>
      </c>
      <c r="G17" s="196" t="n">
        <v>150</v>
      </c>
      <c r="H17" s="199">
        <f>(F17+G17)/2</f>
        <v/>
      </c>
      <c r="I17" s="199">
        <f>VLOOKUP(A17,Ventas!$A$5:$K$51,8,0)</f>
        <v/>
      </c>
      <c r="J17" s="138">
        <f>IF(H17=0,0,I17/H17)</f>
        <v/>
      </c>
      <c r="K17" s="216">
        <f>IF(J17=0,0,30/J17)</f>
        <v/>
      </c>
    </row>
    <row r="18" ht="15" customHeight="1" s="37">
      <c r="A18" s="97" t="inlineStr">
        <is>
          <t>LAC-014</t>
        </is>
      </c>
      <c r="B18" s="103">
        <f>VLOOKUP(A18,Catálogo!$A$5:$L$51,2,0)</f>
        <v/>
      </c>
      <c r="C18" s="103">
        <f>VLOOKUP(A18,Catálogo!$A$5:$L$51,3,0)</f>
        <v/>
      </c>
      <c r="D18" s="214">
        <f>VLOOKUP(A18,Catálogo!$A$5:$L$51,10,0)</f>
        <v/>
      </c>
      <c r="E18" s="215">
        <f>VLOOKUP(A18,Catálogo!$A$5:$L$51,5,0)</f>
        <v/>
      </c>
      <c r="F18" s="199">
        <f>D18*E18</f>
        <v/>
      </c>
      <c r="G18" s="196" t="n">
        <v>5250</v>
      </c>
      <c r="H18" s="199">
        <f>(F18+G18)/2</f>
        <v/>
      </c>
      <c r="I18" s="199">
        <f>VLOOKUP(A18,Ventas!$A$5:$K$51,8,0)</f>
        <v/>
      </c>
      <c r="J18" s="138">
        <f>IF(H18=0,0,I18/H18)</f>
        <v/>
      </c>
      <c r="K18" s="216">
        <f>IF(J18=0,0,30/J18)</f>
        <v/>
      </c>
    </row>
    <row r="19" ht="15" customHeight="1" s="37">
      <c r="A19" s="97" t="inlineStr">
        <is>
          <t>LAC-015</t>
        </is>
      </c>
      <c r="B19" s="103">
        <f>VLOOKUP(A19,Catálogo!$A$5:$L$51,2,0)</f>
        <v/>
      </c>
      <c r="C19" s="103">
        <f>VLOOKUP(A19,Catálogo!$A$5:$L$51,3,0)</f>
        <v/>
      </c>
      <c r="D19" s="214">
        <f>VLOOKUP(A19,Catálogo!$A$5:$L$51,10,0)</f>
        <v/>
      </c>
      <c r="E19" s="215">
        <f>VLOOKUP(A19,Catálogo!$A$5:$L$51,5,0)</f>
        <v/>
      </c>
      <c r="F19" s="199">
        <f>D19*E19</f>
        <v/>
      </c>
      <c r="G19" s="196" t="n">
        <v>5510</v>
      </c>
      <c r="H19" s="199">
        <f>(F19+G19)/2</f>
        <v/>
      </c>
      <c r="I19" s="199">
        <f>VLOOKUP(A19,Ventas!$A$5:$K$51,8,0)</f>
        <v/>
      </c>
      <c r="J19" s="138">
        <f>IF(H19=0,0,I19/H19)</f>
        <v/>
      </c>
      <c r="K19" s="216">
        <f>IF(J19=0,0,30/J19)</f>
        <v/>
      </c>
    </row>
    <row r="20" ht="15" customHeight="1" s="37">
      <c r="A20" s="97" t="inlineStr">
        <is>
          <t>LAC-016</t>
        </is>
      </c>
      <c r="B20" s="103">
        <f>VLOOKUP(A20,Catálogo!$A$5:$L$51,2,0)</f>
        <v/>
      </c>
      <c r="C20" s="103">
        <f>VLOOKUP(A20,Catálogo!$A$5:$L$51,3,0)</f>
        <v/>
      </c>
      <c r="D20" s="214">
        <f>VLOOKUP(A20,Catálogo!$A$5:$L$51,10,0)</f>
        <v/>
      </c>
      <c r="E20" s="215">
        <f>VLOOKUP(A20,Catálogo!$A$5:$L$51,5,0)</f>
        <v/>
      </c>
      <c r="F20" s="199">
        <f>D20*E20</f>
        <v/>
      </c>
      <c r="G20" s="196" t="n">
        <v>3580</v>
      </c>
      <c r="H20" s="199">
        <f>(F20+G20)/2</f>
        <v/>
      </c>
      <c r="I20" s="199">
        <f>VLOOKUP(A20,Ventas!$A$5:$K$51,8,0)</f>
        <v/>
      </c>
      <c r="J20" s="138">
        <f>IF(H20=0,0,I20/H20)</f>
        <v/>
      </c>
      <c r="K20" s="216">
        <f>IF(J20=0,0,30/J20)</f>
        <v/>
      </c>
    </row>
    <row r="21" ht="15" customHeight="1" s="37">
      <c r="A21" s="97" t="inlineStr">
        <is>
          <t>LAC-017</t>
        </is>
      </c>
      <c r="B21" s="103">
        <f>VLOOKUP(A21,Catálogo!$A$5:$L$51,2,0)</f>
        <v/>
      </c>
      <c r="C21" s="103">
        <f>VLOOKUP(A21,Catálogo!$A$5:$L$51,3,0)</f>
        <v/>
      </c>
      <c r="D21" s="214">
        <f>VLOOKUP(A21,Catálogo!$A$5:$L$51,10,0)</f>
        <v/>
      </c>
      <c r="E21" s="215">
        <f>VLOOKUP(A21,Catálogo!$A$5:$L$51,5,0)</f>
        <v/>
      </c>
      <c r="F21" s="199">
        <f>D21*E21</f>
        <v/>
      </c>
      <c r="G21" s="196" t="n">
        <v>4690</v>
      </c>
      <c r="H21" s="199">
        <f>(F21+G21)/2</f>
        <v/>
      </c>
      <c r="I21" s="199">
        <f>VLOOKUP(A21,Ventas!$A$5:$K$51,8,0)</f>
        <v/>
      </c>
      <c r="J21" s="138">
        <f>IF(H21=0,0,I21/H21)</f>
        <v/>
      </c>
      <c r="K21" s="216">
        <f>IF(J21=0,0,30/J21)</f>
        <v/>
      </c>
    </row>
    <row r="22" ht="15" customHeight="1" s="37">
      <c r="A22" s="97" t="inlineStr">
        <is>
          <t>LAC-018</t>
        </is>
      </c>
      <c r="B22" s="103">
        <f>VLOOKUP(A22,Catálogo!$A$5:$L$51,2,0)</f>
        <v/>
      </c>
      <c r="C22" s="103">
        <f>VLOOKUP(A22,Catálogo!$A$5:$L$51,3,0)</f>
        <v/>
      </c>
      <c r="D22" s="214">
        <f>VLOOKUP(A22,Catálogo!$A$5:$L$51,10,0)</f>
        <v/>
      </c>
      <c r="E22" s="215">
        <f>VLOOKUP(A22,Catálogo!$A$5:$L$51,5,0)</f>
        <v/>
      </c>
      <c r="F22" s="199">
        <f>D22*E22</f>
        <v/>
      </c>
      <c r="G22" s="196" t="n">
        <v>0</v>
      </c>
      <c r="H22" s="199">
        <f>(F22+G22)/2</f>
        <v/>
      </c>
      <c r="I22" s="199">
        <f>VLOOKUP(A22,Ventas!$A$5:$K$51,8,0)</f>
        <v/>
      </c>
      <c r="J22" s="138">
        <f>IF(H22=0,0,I22/H22)</f>
        <v/>
      </c>
      <c r="K22" s="216">
        <f>IF(J22=0,0,30/J22)</f>
        <v/>
      </c>
    </row>
    <row r="23" ht="15" customHeight="1" s="37">
      <c r="A23" s="97" t="inlineStr">
        <is>
          <t>EMB-001</t>
        </is>
      </c>
      <c r="B23" s="103">
        <f>VLOOKUP(A23,Catálogo!$A$5:$L$51,2,0)</f>
        <v/>
      </c>
      <c r="C23" s="103">
        <f>VLOOKUP(A23,Catálogo!$A$5:$L$51,3,0)</f>
        <v/>
      </c>
      <c r="D23" s="214">
        <f>VLOOKUP(A23,Catálogo!$A$5:$L$51,10,0)</f>
        <v/>
      </c>
      <c r="E23" s="215">
        <f>VLOOKUP(A23,Catálogo!$A$5:$L$51,5,0)</f>
        <v/>
      </c>
      <c r="F23" s="199">
        <f>D23*E23</f>
        <v/>
      </c>
      <c r="G23" s="196" t="n">
        <v>8400</v>
      </c>
      <c r="H23" s="199">
        <f>(F23+G23)/2</f>
        <v/>
      </c>
      <c r="I23" s="199">
        <f>VLOOKUP(A23,Ventas!$A$5:$K$51,8,0)</f>
        <v/>
      </c>
      <c r="J23" s="138">
        <f>IF(H23=0,0,I23/H23)</f>
        <v/>
      </c>
      <c r="K23" s="216">
        <f>IF(J23=0,0,30/J23)</f>
        <v/>
      </c>
    </row>
    <row r="24" ht="15" customHeight="1" s="37">
      <c r="A24" s="97" t="inlineStr">
        <is>
          <t>EMB-002</t>
        </is>
      </c>
      <c r="B24" s="103">
        <f>VLOOKUP(A24,Catálogo!$A$5:$L$51,2,0)</f>
        <v/>
      </c>
      <c r="C24" s="103">
        <f>VLOOKUP(A24,Catálogo!$A$5:$L$51,3,0)</f>
        <v/>
      </c>
      <c r="D24" s="214">
        <f>VLOOKUP(A24,Catálogo!$A$5:$L$51,10,0)</f>
        <v/>
      </c>
      <c r="E24" s="215">
        <f>VLOOKUP(A24,Catálogo!$A$5:$L$51,5,0)</f>
        <v/>
      </c>
      <c r="F24" s="199">
        <f>D24*E24</f>
        <v/>
      </c>
      <c r="G24" s="196" t="n">
        <v>11120</v>
      </c>
      <c r="H24" s="199">
        <f>(F24+G24)/2</f>
        <v/>
      </c>
      <c r="I24" s="199">
        <f>VLOOKUP(A24,Ventas!$A$5:$K$51,8,0)</f>
        <v/>
      </c>
      <c r="J24" s="138">
        <f>IF(H24=0,0,I24/H24)</f>
        <v/>
      </c>
      <c r="K24" s="216">
        <f>IF(J24=0,0,30/J24)</f>
        <v/>
      </c>
    </row>
    <row r="25" ht="15" customHeight="1" s="37">
      <c r="A25" s="97" t="inlineStr">
        <is>
          <t>EMB-003</t>
        </is>
      </c>
      <c r="B25" s="103">
        <f>VLOOKUP(A25,Catálogo!$A$5:$L$51,2,0)</f>
        <v/>
      </c>
      <c r="C25" s="103">
        <f>VLOOKUP(A25,Catálogo!$A$5:$L$51,3,0)</f>
        <v/>
      </c>
      <c r="D25" s="214">
        <f>VLOOKUP(A25,Catálogo!$A$5:$L$51,10,0)</f>
        <v/>
      </c>
      <c r="E25" s="215">
        <f>VLOOKUP(A25,Catálogo!$A$5:$L$51,5,0)</f>
        <v/>
      </c>
      <c r="F25" s="199">
        <f>D25*E25</f>
        <v/>
      </c>
      <c r="G25" s="196" t="n">
        <v>6250</v>
      </c>
      <c r="H25" s="199">
        <f>(F25+G25)/2</f>
        <v/>
      </c>
      <c r="I25" s="199">
        <f>VLOOKUP(A25,Ventas!$A$5:$K$51,8,0)</f>
        <v/>
      </c>
      <c r="J25" s="138">
        <f>IF(H25=0,0,I25/H25)</f>
        <v/>
      </c>
      <c r="K25" s="216">
        <f>IF(J25=0,0,30/J25)</f>
        <v/>
      </c>
    </row>
    <row r="26" ht="15" customHeight="1" s="37">
      <c r="A26" s="97" t="inlineStr">
        <is>
          <t>EMB-004</t>
        </is>
      </c>
      <c r="B26" s="103">
        <f>VLOOKUP(A26,Catálogo!$A$5:$L$51,2,0)</f>
        <v/>
      </c>
      <c r="C26" s="103">
        <f>VLOOKUP(A26,Catálogo!$A$5:$L$51,3,0)</f>
        <v/>
      </c>
      <c r="D26" s="214">
        <f>VLOOKUP(A26,Catálogo!$A$5:$L$51,10,0)</f>
        <v/>
      </c>
      <c r="E26" s="215">
        <f>VLOOKUP(A26,Catálogo!$A$5:$L$51,5,0)</f>
        <v/>
      </c>
      <c r="F26" s="199">
        <f>D26*E26</f>
        <v/>
      </c>
      <c r="G26" s="196" t="n">
        <v>2980</v>
      </c>
      <c r="H26" s="199">
        <f>(F26+G26)/2</f>
        <v/>
      </c>
      <c r="I26" s="199">
        <f>VLOOKUP(A26,Ventas!$A$5:$K$51,8,0)</f>
        <v/>
      </c>
      <c r="J26" s="138">
        <f>IF(H26=0,0,I26/H26)</f>
        <v/>
      </c>
      <c r="K26" s="216">
        <f>IF(J26=0,0,30/J26)</f>
        <v/>
      </c>
    </row>
    <row r="27" ht="15" customHeight="1" s="37">
      <c r="A27" s="97" t="inlineStr">
        <is>
          <t>EMB-005</t>
        </is>
      </c>
      <c r="B27" s="103">
        <f>VLOOKUP(A27,Catálogo!$A$5:$L$51,2,0)</f>
        <v/>
      </c>
      <c r="C27" s="103">
        <f>VLOOKUP(A27,Catálogo!$A$5:$L$51,3,0)</f>
        <v/>
      </c>
      <c r="D27" s="214">
        <f>VLOOKUP(A27,Catálogo!$A$5:$L$51,10,0)</f>
        <v/>
      </c>
      <c r="E27" s="215">
        <f>VLOOKUP(A27,Catálogo!$A$5:$L$51,5,0)</f>
        <v/>
      </c>
      <c r="F27" s="199">
        <f>D27*E27</f>
        <v/>
      </c>
      <c r="G27" s="196" t="n">
        <v>830</v>
      </c>
      <c r="H27" s="199">
        <f>(F27+G27)/2</f>
        <v/>
      </c>
      <c r="I27" s="199">
        <f>VLOOKUP(A27,Ventas!$A$5:$K$51,8,0)</f>
        <v/>
      </c>
      <c r="J27" s="138">
        <f>IF(H27=0,0,I27/H27)</f>
        <v/>
      </c>
      <c r="K27" s="216">
        <f>IF(J27=0,0,30/J27)</f>
        <v/>
      </c>
    </row>
    <row r="28" ht="15" customHeight="1" s="37">
      <c r="A28" s="97" t="inlineStr">
        <is>
          <t>EMB-006</t>
        </is>
      </c>
      <c r="B28" s="103">
        <f>VLOOKUP(A28,Catálogo!$A$5:$L$51,2,0)</f>
        <v/>
      </c>
      <c r="C28" s="103">
        <f>VLOOKUP(A28,Catálogo!$A$5:$L$51,3,0)</f>
        <v/>
      </c>
      <c r="D28" s="214">
        <f>VLOOKUP(A28,Catálogo!$A$5:$L$51,10,0)</f>
        <v/>
      </c>
      <c r="E28" s="215">
        <f>VLOOKUP(A28,Catálogo!$A$5:$L$51,5,0)</f>
        <v/>
      </c>
      <c r="F28" s="199">
        <f>D28*E28</f>
        <v/>
      </c>
      <c r="G28" s="196" t="n">
        <v>2290</v>
      </c>
      <c r="H28" s="199">
        <f>(F28+G28)/2</f>
        <v/>
      </c>
      <c r="I28" s="199">
        <f>VLOOKUP(A28,Ventas!$A$5:$K$51,8,0)</f>
        <v/>
      </c>
      <c r="J28" s="138">
        <f>IF(H28=0,0,I28/H28)</f>
        <v/>
      </c>
      <c r="K28" s="216">
        <f>IF(J28=0,0,30/J28)</f>
        <v/>
      </c>
    </row>
    <row r="29" ht="15" customHeight="1" s="37">
      <c r="A29" s="97" t="inlineStr">
        <is>
          <t>EMB-007</t>
        </is>
      </c>
      <c r="B29" s="103">
        <f>VLOOKUP(A29,Catálogo!$A$5:$L$51,2,0)</f>
        <v/>
      </c>
      <c r="C29" s="103">
        <f>VLOOKUP(A29,Catálogo!$A$5:$L$51,3,0)</f>
        <v/>
      </c>
      <c r="D29" s="214">
        <f>VLOOKUP(A29,Catálogo!$A$5:$L$51,10,0)</f>
        <v/>
      </c>
      <c r="E29" s="215">
        <f>VLOOKUP(A29,Catálogo!$A$5:$L$51,5,0)</f>
        <v/>
      </c>
      <c r="F29" s="199">
        <f>D29*E29</f>
        <v/>
      </c>
      <c r="G29" s="196" t="n">
        <v>0</v>
      </c>
      <c r="H29" s="199">
        <f>(F29+G29)/2</f>
        <v/>
      </c>
      <c r="I29" s="199">
        <f>VLOOKUP(A29,Ventas!$A$5:$K$51,8,0)</f>
        <v/>
      </c>
      <c r="J29" s="138">
        <f>IF(H29=0,0,I29/H29)</f>
        <v/>
      </c>
      <c r="K29" s="216">
        <f>IF(J29=0,0,30/J29)</f>
        <v/>
      </c>
    </row>
    <row r="30" ht="15" customHeight="1" s="37">
      <c r="A30" s="97" t="inlineStr">
        <is>
          <t>EMB-008</t>
        </is>
      </c>
      <c r="B30" s="103">
        <f>VLOOKUP(A30,Catálogo!$A$5:$L$51,2,0)</f>
        <v/>
      </c>
      <c r="C30" s="103">
        <f>VLOOKUP(A30,Catálogo!$A$5:$L$51,3,0)</f>
        <v/>
      </c>
      <c r="D30" s="214">
        <f>VLOOKUP(A30,Catálogo!$A$5:$L$51,10,0)</f>
        <v/>
      </c>
      <c r="E30" s="215">
        <f>VLOOKUP(A30,Catálogo!$A$5:$L$51,5,0)</f>
        <v/>
      </c>
      <c r="F30" s="199">
        <f>D30*E30</f>
        <v/>
      </c>
      <c r="G30" s="196" t="n">
        <v>1730</v>
      </c>
      <c r="H30" s="199">
        <f>(F30+G30)/2</f>
        <v/>
      </c>
      <c r="I30" s="199">
        <f>VLOOKUP(A30,Ventas!$A$5:$K$51,8,0)</f>
        <v/>
      </c>
      <c r="J30" s="138">
        <f>IF(H30=0,0,I30/H30)</f>
        <v/>
      </c>
      <c r="K30" s="216">
        <f>IF(J30=0,0,30/J30)</f>
        <v/>
      </c>
    </row>
    <row r="31" ht="15" customHeight="1" s="37">
      <c r="A31" s="97" t="inlineStr">
        <is>
          <t>EMB-009</t>
        </is>
      </c>
      <c r="B31" s="103">
        <f>VLOOKUP(A31,Catálogo!$A$5:$L$51,2,0)</f>
        <v/>
      </c>
      <c r="C31" s="103">
        <f>VLOOKUP(A31,Catálogo!$A$5:$L$51,3,0)</f>
        <v/>
      </c>
      <c r="D31" s="214">
        <f>VLOOKUP(A31,Catálogo!$A$5:$L$51,10,0)</f>
        <v/>
      </c>
      <c r="E31" s="215">
        <f>VLOOKUP(A31,Catálogo!$A$5:$L$51,5,0)</f>
        <v/>
      </c>
      <c r="F31" s="199">
        <f>D31*E31</f>
        <v/>
      </c>
      <c r="G31" s="196" t="n">
        <v>3360</v>
      </c>
      <c r="H31" s="199">
        <f>(F31+G31)/2</f>
        <v/>
      </c>
      <c r="I31" s="199">
        <f>VLOOKUP(A31,Ventas!$A$5:$K$51,8,0)</f>
        <v/>
      </c>
      <c r="J31" s="138">
        <f>IF(H31=0,0,I31/H31)</f>
        <v/>
      </c>
      <c r="K31" s="216">
        <f>IF(J31=0,0,30/J31)</f>
        <v/>
      </c>
    </row>
    <row r="32" ht="15" customHeight="1" s="37">
      <c r="A32" s="97" t="inlineStr">
        <is>
          <t>EMB-010</t>
        </is>
      </c>
      <c r="B32" s="103">
        <f>VLOOKUP(A32,Catálogo!$A$5:$L$51,2,0)</f>
        <v/>
      </c>
      <c r="C32" s="103">
        <f>VLOOKUP(A32,Catálogo!$A$5:$L$51,3,0)</f>
        <v/>
      </c>
      <c r="D32" s="214">
        <f>VLOOKUP(A32,Catálogo!$A$5:$L$51,10,0)</f>
        <v/>
      </c>
      <c r="E32" s="215">
        <f>VLOOKUP(A32,Catálogo!$A$5:$L$51,5,0)</f>
        <v/>
      </c>
      <c r="F32" s="199">
        <f>D32*E32</f>
        <v/>
      </c>
      <c r="G32" s="196" t="n">
        <v>9170</v>
      </c>
      <c r="H32" s="199">
        <f>(F32+G32)/2</f>
        <v/>
      </c>
      <c r="I32" s="199">
        <f>VLOOKUP(A32,Ventas!$A$5:$K$51,8,0)</f>
        <v/>
      </c>
      <c r="J32" s="138">
        <f>IF(H32=0,0,I32/H32)</f>
        <v/>
      </c>
      <c r="K32" s="216">
        <f>IF(J32=0,0,30/J32)</f>
        <v/>
      </c>
    </row>
    <row r="33" ht="15" customHeight="1" s="37">
      <c r="A33" s="97" t="inlineStr">
        <is>
          <t>EMB-011</t>
        </is>
      </c>
      <c r="B33" s="103">
        <f>VLOOKUP(A33,Catálogo!$A$5:$L$51,2,0)</f>
        <v/>
      </c>
      <c r="C33" s="103">
        <f>VLOOKUP(A33,Catálogo!$A$5:$L$51,3,0)</f>
        <v/>
      </c>
      <c r="D33" s="214">
        <f>VLOOKUP(A33,Catálogo!$A$5:$L$51,10,0)</f>
        <v/>
      </c>
      <c r="E33" s="215">
        <f>VLOOKUP(A33,Catálogo!$A$5:$L$51,5,0)</f>
        <v/>
      </c>
      <c r="F33" s="199">
        <f>D33*E33</f>
        <v/>
      </c>
      <c r="G33" s="196" t="n">
        <v>9740</v>
      </c>
      <c r="H33" s="199">
        <f>(F33+G33)/2</f>
        <v/>
      </c>
      <c r="I33" s="199">
        <f>VLOOKUP(A33,Ventas!$A$5:$K$51,8,0)</f>
        <v/>
      </c>
      <c r="J33" s="138">
        <f>IF(H33=0,0,I33/H33)</f>
        <v/>
      </c>
      <c r="K33" s="216">
        <f>IF(J33=0,0,30/J33)</f>
        <v/>
      </c>
    </row>
    <row r="34" ht="15" customHeight="1" s="37">
      <c r="A34" s="97" t="inlineStr">
        <is>
          <t>EMB-012</t>
        </is>
      </c>
      <c r="B34" s="103">
        <f>VLOOKUP(A34,Catálogo!$A$5:$L$51,2,0)</f>
        <v/>
      </c>
      <c r="C34" s="103">
        <f>VLOOKUP(A34,Catálogo!$A$5:$L$51,3,0)</f>
        <v/>
      </c>
      <c r="D34" s="214">
        <f>VLOOKUP(A34,Catálogo!$A$5:$L$51,10,0)</f>
        <v/>
      </c>
      <c r="E34" s="215">
        <f>VLOOKUP(A34,Catálogo!$A$5:$L$51,5,0)</f>
        <v/>
      </c>
      <c r="F34" s="199">
        <f>D34*E34</f>
        <v/>
      </c>
      <c r="G34" s="196" t="n">
        <v>770</v>
      </c>
      <c r="H34" s="199">
        <f>(F34+G34)/2</f>
        <v/>
      </c>
      <c r="I34" s="199">
        <f>VLOOKUP(A34,Ventas!$A$5:$K$51,8,0)</f>
        <v/>
      </c>
      <c r="J34" s="138">
        <f>IF(H34=0,0,I34/H34)</f>
        <v/>
      </c>
      <c r="K34" s="216">
        <f>IF(J34=0,0,30/J34)</f>
        <v/>
      </c>
    </row>
    <row r="35" ht="15" customHeight="1" s="37">
      <c r="A35" s="97" t="inlineStr">
        <is>
          <t>ABA-001</t>
        </is>
      </c>
      <c r="B35" s="103">
        <f>VLOOKUP(A35,Catálogo!$A$5:$L$51,2,0)</f>
        <v/>
      </c>
      <c r="C35" s="103">
        <f>VLOOKUP(A35,Catálogo!$A$5:$L$51,3,0)</f>
        <v/>
      </c>
      <c r="D35" s="214">
        <f>VLOOKUP(A35,Catálogo!$A$5:$L$51,10,0)</f>
        <v/>
      </c>
      <c r="E35" s="215">
        <f>VLOOKUP(A35,Catálogo!$A$5:$L$51,5,0)</f>
        <v/>
      </c>
      <c r="F35" s="199">
        <f>D35*E35</f>
        <v/>
      </c>
      <c r="G35" s="196" t="n">
        <v>1410</v>
      </c>
      <c r="H35" s="199">
        <f>(F35+G35)/2</f>
        <v/>
      </c>
      <c r="I35" s="199">
        <f>VLOOKUP(A35,Ventas!$A$5:$K$51,8,0)</f>
        <v/>
      </c>
      <c r="J35" s="138">
        <f>IF(H35=0,0,I35/H35)</f>
        <v/>
      </c>
      <c r="K35" s="216">
        <f>IF(J35=0,0,30/J35)</f>
        <v/>
      </c>
    </row>
    <row r="36" ht="15" customHeight="1" s="37">
      <c r="A36" s="97" t="inlineStr">
        <is>
          <t>ABA-002</t>
        </is>
      </c>
      <c r="B36" s="103">
        <f>VLOOKUP(A36,Catálogo!$A$5:$L$51,2,0)</f>
        <v/>
      </c>
      <c r="C36" s="103">
        <f>VLOOKUP(A36,Catálogo!$A$5:$L$51,3,0)</f>
        <v/>
      </c>
      <c r="D36" s="214">
        <f>VLOOKUP(A36,Catálogo!$A$5:$L$51,10,0)</f>
        <v/>
      </c>
      <c r="E36" s="215">
        <f>VLOOKUP(A36,Catálogo!$A$5:$L$51,5,0)</f>
        <v/>
      </c>
      <c r="F36" s="199">
        <f>D36*E36</f>
        <v/>
      </c>
      <c r="G36" s="196" t="n">
        <v>940</v>
      </c>
      <c r="H36" s="199">
        <f>(F36+G36)/2</f>
        <v/>
      </c>
      <c r="I36" s="199">
        <f>VLOOKUP(A36,Ventas!$A$5:$K$51,8,0)</f>
        <v/>
      </c>
      <c r="J36" s="138">
        <f>IF(H36=0,0,I36/H36)</f>
        <v/>
      </c>
      <c r="K36" s="216">
        <f>IF(J36=0,0,30/J36)</f>
        <v/>
      </c>
    </row>
    <row r="37" ht="15" customHeight="1" s="37">
      <c r="A37" s="97" t="inlineStr">
        <is>
          <t>ABA-003</t>
        </is>
      </c>
      <c r="B37" s="103">
        <f>VLOOKUP(A37,Catálogo!$A$5:$L$51,2,0)</f>
        <v/>
      </c>
      <c r="C37" s="103">
        <f>VLOOKUP(A37,Catálogo!$A$5:$L$51,3,0)</f>
        <v/>
      </c>
      <c r="D37" s="214">
        <f>VLOOKUP(A37,Catálogo!$A$5:$L$51,10,0)</f>
        <v/>
      </c>
      <c r="E37" s="215">
        <f>VLOOKUP(A37,Catálogo!$A$5:$L$51,5,0)</f>
        <v/>
      </c>
      <c r="F37" s="199">
        <f>D37*E37</f>
        <v/>
      </c>
      <c r="G37" s="196" t="n">
        <v>0</v>
      </c>
      <c r="H37" s="199">
        <f>(F37+G37)/2</f>
        <v/>
      </c>
      <c r="I37" s="199">
        <f>VLOOKUP(A37,Ventas!$A$5:$K$51,8,0)</f>
        <v/>
      </c>
      <c r="J37" s="138">
        <f>IF(H37=0,0,I37/H37)</f>
        <v/>
      </c>
      <c r="K37" s="216">
        <f>IF(J37=0,0,30/J37)</f>
        <v/>
      </c>
    </row>
    <row r="38" ht="15" customHeight="1" s="37">
      <c r="A38" s="97" t="inlineStr">
        <is>
          <t>ABA-004</t>
        </is>
      </c>
      <c r="B38" s="103">
        <f>VLOOKUP(A38,Catálogo!$A$5:$L$51,2,0)</f>
        <v/>
      </c>
      <c r="C38" s="103">
        <f>VLOOKUP(A38,Catálogo!$A$5:$L$51,3,0)</f>
        <v/>
      </c>
      <c r="D38" s="214">
        <f>VLOOKUP(A38,Catálogo!$A$5:$L$51,10,0)</f>
        <v/>
      </c>
      <c r="E38" s="215">
        <f>VLOOKUP(A38,Catálogo!$A$5:$L$51,5,0)</f>
        <v/>
      </c>
      <c r="F38" s="199">
        <f>D38*E38</f>
        <v/>
      </c>
      <c r="G38" s="196" t="n">
        <v>6130</v>
      </c>
      <c r="H38" s="199">
        <f>(F38+G38)/2</f>
        <v/>
      </c>
      <c r="I38" s="199">
        <f>VLOOKUP(A38,Ventas!$A$5:$K$51,8,0)</f>
        <v/>
      </c>
      <c r="J38" s="138">
        <f>IF(H38=0,0,I38/H38)</f>
        <v/>
      </c>
      <c r="K38" s="216">
        <f>IF(J38=0,0,30/J38)</f>
        <v/>
      </c>
    </row>
    <row r="39" ht="15" customHeight="1" s="37">
      <c r="A39" s="97" t="inlineStr">
        <is>
          <t>ABA-005</t>
        </is>
      </c>
      <c r="B39" s="103">
        <f>VLOOKUP(A39,Catálogo!$A$5:$L$51,2,0)</f>
        <v/>
      </c>
      <c r="C39" s="103">
        <f>VLOOKUP(A39,Catálogo!$A$5:$L$51,3,0)</f>
        <v/>
      </c>
      <c r="D39" s="214">
        <f>VLOOKUP(A39,Catálogo!$A$5:$L$51,10,0)</f>
        <v/>
      </c>
      <c r="E39" s="215">
        <f>VLOOKUP(A39,Catálogo!$A$5:$L$51,5,0)</f>
        <v/>
      </c>
      <c r="F39" s="199">
        <f>D39*E39</f>
        <v/>
      </c>
      <c r="G39" s="196" t="n">
        <v>3010</v>
      </c>
      <c r="H39" s="199">
        <f>(F39+G39)/2</f>
        <v/>
      </c>
      <c r="I39" s="199">
        <f>VLOOKUP(A39,Ventas!$A$5:$K$51,8,0)</f>
        <v/>
      </c>
      <c r="J39" s="138">
        <f>IF(H39=0,0,I39/H39)</f>
        <v/>
      </c>
      <c r="K39" s="216">
        <f>IF(J39=0,0,30/J39)</f>
        <v/>
      </c>
    </row>
    <row r="40" ht="15" customHeight="1" s="37">
      <c r="A40" s="97" t="inlineStr">
        <is>
          <t>ABA-006</t>
        </is>
      </c>
      <c r="B40" s="103">
        <f>VLOOKUP(A40,Catálogo!$A$5:$L$51,2,0)</f>
        <v/>
      </c>
      <c r="C40" s="103">
        <f>VLOOKUP(A40,Catálogo!$A$5:$L$51,3,0)</f>
        <v/>
      </c>
      <c r="D40" s="214">
        <f>VLOOKUP(A40,Catálogo!$A$5:$L$51,10,0)</f>
        <v/>
      </c>
      <c r="E40" s="215">
        <f>VLOOKUP(A40,Catálogo!$A$5:$L$51,5,0)</f>
        <v/>
      </c>
      <c r="F40" s="199">
        <f>D40*E40</f>
        <v/>
      </c>
      <c r="G40" s="196" t="n">
        <v>1060</v>
      </c>
      <c r="H40" s="199">
        <f>(F40+G40)/2</f>
        <v/>
      </c>
      <c r="I40" s="199">
        <f>VLOOKUP(A40,Ventas!$A$5:$K$51,8,0)</f>
        <v/>
      </c>
      <c r="J40" s="138">
        <f>IF(H40=0,0,I40/H40)</f>
        <v/>
      </c>
      <c r="K40" s="216">
        <f>IF(J40=0,0,30/J40)</f>
        <v/>
      </c>
    </row>
    <row r="41" ht="15" customHeight="1" s="37">
      <c r="A41" s="97" t="inlineStr">
        <is>
          <t>ABA-007</t>
        </is>
      </c>
      <c r="B41" s="103">
        <f>VLOOKUP(A41,Catálogo!$A$5:$L$51,2,0)</f>
        <v/>
      </c>
      <c r="C41" s="103">
        <f>VLOOKUP(A41,Catálogo!$A$5:$L$51,3,0)</f>
        <v/>
      </c>
      <c r="D41" s="214">
        <f>VLOOKUP(A41,Catálogo!$A$5:$L$51,10,0)</f>
        <v/>
      </c>
      <c r="E41" s="215">
        <f>VLOOKUP(A41,Catálogo!$A$5:$L$51,5,0)</f>
        <v/>
      </c>
      <c r="F41" s="199">
        <f>D41*E41</f>
        <v/>
      </c>
      <c r="G41" s="196" t="n">
        <v>90</v>
      </c>
      <c r="H41" s="199">
        <f>(F41+G41)/2</f>
        <v/>
      </c>
      <c r="I41" s="199">
        <f>VLOOKUP(A41,Ventas!$A$5:$K$51,8,0)</f>
        <v/>
      </c>
      <c r="J41" s="138">
        <f>IF(H41=0,0,I41/H41)</f>
        <v/>
      </c>
      <c r="K41" s="216">
        <f>IF(J41=0,0,30/J41)</f>
        <v/>
      </c>
    </row>
    <row r="42" ht="15" customHeight="1" s="37">
      <c r="A42" s="97" t="inlineStr">
        <is>
          <t>ABA-008</t>
        </is>
      </c>
      <c r="B42" s="103">
        <f>VLOOKUP(A42,Catálogo!$A$5:$L$51,2,0)</f>
        <v/>
      </c>
      <c r="C42" s="103">
        <f>VLOOKUP(A42,Catálogo!$A$5:$L$51,3,0)</f>
        <v/>
      </c>
      <c r="D42" s="214">
        <f>VLOOKUP(A42,Catálogo!$A$5:$L$51,10,0)</f>
        <v/>
      </c>
      <c r="E42" s="215">
        <f>VLOOKUP(A42,Catálogo!$A$5:$L$51,5,0)</f>
        <v/>
      </c>
      <c r="F42" s="199">
        <f>D42*E42</f>
        <v/>
      </c>
      <c r="G42" s="196" t="n">
        <v>0</v>
      </c>
      <c r="H42" s="199">
        <f>(F42+G42)/2</f>
        <v/>
      </c>
      <c r="I42" s="199">
        <f>VLOOKUP(A42,Ventas!$A$5:$K$51,8,0)</f>
        <v/>
      </c>
      <c r="J42" s="138">
        <f>IF(H42=0,0,I42/H42)</f>
        <v/>
      </c>
      <c r="K42" s="216">
        <f>IF(J42=0,0,30/J42)</f>
        <v/>
      </c>
    </row>
    <row r="43" ht="15" customHeight="1" s="37">
      <c r="A43" s="97" t="inlineStr">
        <is>
          <t>ABA-009</t>
        </is>
      </c>
      <c r="B43" s="103">
        <f>VLOOKUP(A43,Catálogo!$A$5:$L$51,2,0)</f>
        <v/>
      </c>
      <c r="C43" s="103">
        <f>VLOOKUP(A43,Catálogo!$A$5:$L$51,3,0)</f>
        <v/>
      </c>
      <c r="D43" s="214">
        <f>VLOOKUP(A43,Catálogo!$A$5:$L$51,10,0)</f>
        <v/>
      </c>
      <c r="E43" s="215">
        <f>VLOOKUP(A43,Catálogo!$A$5:$L$51,5,0)</f>
        <v/>
      </c>
      <c r="F43" s="199">
        <f>D43*E43</f>
        <v/>
      </c>
      <c r="G43" s="196" t="n">
        <v>250</v>
      </c>
      <c r="H43" s="199">
        <f>(F43+G43)/2</f>
        <v/>
      </c>
      <c r="I43" s="199">
        <f>VLOOKUP(A43,Ventas!$A$5:$K$51,8,0)</f>
        <v/>
      </c>
      <c r="J43" s="138">
        <f>IF(H43=0,0,I43/H43)</f>
        <v/>
      </c>
      <c r="K43" s="216">
        <f>IF(J43=0,0,30/J43)</f>
        <v/>
      </c>
    </row>
    <row r="44" ht="15" customHeight="1" s="37">
      <c r="A44" s="97" t="inlineStr">
        <is>
          <t>ABA-010</t>
        </is>
      </c>
      <c r="B44" s="103">
        <f>VLOOKUP(A44,Catálogo!$A$5:$L$51,2,0)</f>
        <v/>
      </c>
      <c r="C44" s="103">
        <f>VLOOKUP(A44,Catálogo!$A$5:$L$51,3,0)</f>
        <v/>
      </c>
      <c r="D44" s="214">
        <f>VLOOKUP(A44,Catálogo!$A$5:$L$51,10,0)</f>
        <v/>
      </c>
      <c r="E44" s="215">
        <f>VLOOKUP(A44,Catálogo!$A$5:$L$51,5,0)</f>
        <v/>
      </c>
      <c r="F44" s="199">
        <f>D44*E44</f>
        <v/>
      </c>
      <c r="G44" s="196" t="n">
        <v>70</v>
      </c>
      <c r="H44" s="199">
        <f>(F44+G44)/2</f>
        <v/>
      </c>
      <c r="I44" s="199">
        <f>VLOOKUP(A44,Ventas!$A$5:$K$51,8,0)</f>
        <v/>
      </c>
      <c r="J44" s="138">
        <f>IF(H44=0,0,I44/H44)</f>
        <v/>
      </c>
      <c r="K44" s="216">
        <f>IF(J44=0,0,30/J44)</f>
        <v/>
      </c>
    </row>
    <row r="45" ht="15" customHeight="1" s="37">
      <c r="A45" s="97" t="inlineStr">
        <is>
          <t>ABA-011</t>
        </is>
      </c>
      <c r="B45" s="103">
        <f>VLOOKUP(A45,Catálogo!$A$5:$L$51,2,0)</f>
        <v/>
      </c>
      <c r="C45" s="103">
        <f>VLOOKUP(A45,Catálogo!$A$5:$L$51,3,0)</f>
        <v/>
      </c>
      <c r="D45" s="214">
        <f>VLOOKUP(A45,Catálogo!$A$5:$L$51,10,0)</f>
        <v/>
      </c>
      <c r="E45" s="215">
        <f>VLOOKUP(A45,Catálogo!$A$5:$L$51,5,0)</f>
        <v/>
      </c>
      <c r="F45" s="199">
        <f>D45*E45</f>
        <v/>
      </c>
      <c r="G45" s="196" t="n">
        <v>4030</v>
      </c>
      <c r="H45" s="199">
        <f>(F45+G45)/2</f>
        <v/>
      </c>
      <c r="I45" s="199">
        <f>VLOOKUP(A45,Ventas!$A$5:$K$51,8,0)</f>
        <v/>
      </c>
      <c r="J45" s="138">
        <f>IF(H45=0,0,I45/H45)</f>
        <v/>
      </c>
      <c r="K45" s="216">
        <f>IF(J45=0,0,30/J45)</f>
        <v/>
      </c>
    </row>
    <row r="46" ht="15" customHeight="1" s="37">
      <c r="A46" s="97" t="inlineStr">
        <is>
          <t>ABA-012</t>
        </is>
      </c>
      <c r="B46" s="103">
        <f>VLOOKUP(A46,Catálogo!$A$5:$L$51,2,0)</f>
        <v/>
      </c>
      <c r="C46" s="103">
        <f>VLOOKUP(A46,Catálogo!$A$5:$L$51,3,0)</f>
        <v/>
      </c>
      <c r="D46" s="214">
        <f>VLOOKUP(A46,Catálogo!$A$5:$L$51,10,0)</f>
        <v/>
      </c>
      <c r="E46" s="215">
        <f>VLOOKUP(A46,Catálogo!$A$5:$L$51,5,0)</f>
        <v/>
      </c>
      <c r="F46" s="199">
        <f>D46*E46</f>
        <v/>
      </c>
      <c r="G46" s="196" t="n">
        <v>350</v>
      </c>
      <c r="H46" s="199">
        <f>(F46+G46)/2</f>
        <v/>
      </c>
      <c r="I46" s="199">
        <f>VLOOKUP(A46,Ventas!$A$5:$K$51,8,0)</f>
        <v/>
      </c>
      <c r="J46" s="138">
        <f>IF(H46=0,0,I46/H46)</f>
        <v/>
      </c>
      <c r="K46" s="216">
        <f>IF(J46=0,0,30/J46)</f>
        <v/>
      </c>
    </row>
    <row r="47" ht="15" customHeight="1" s="37">
      <c r="A47" s="97" t="inlineStr">
        <is>
          <t>ABA-013</t>
        </is>
      </c>
      <c r="B47" s="103">
        <f>VLOOKUP(A47,Catálogo!$A$5:$L$51,2,0)</f>
        <v/>
      </c>
      <c r="C47" s="103">
        <f>VLOOKUP(A47,Catálogo!$A$5:$L$51,3,0)</f>
        <v/>
      </c>
      <c r="D47" s="214">
        <f>VLOOKUP(A47,Catálogo!$A$5:$L$51,10,0)</f>
        <v/>
      </c>
      <c r="E47" s="215">
        <f>VLOOKUP(A47,Catálogo!$A$5:$L$51,5,0)</f>
        <v/>
      </c>
      <c r="F47" s="199">
        <f>D47*E47</f>
        <v/>
      </c>
      <c r="G47" s="196" t="n">
        <v>2450</v>
      </c>
      <c r="H47" s="199">
        <f>(F47+G47)/2</f>
        <v/>
      </c>
      <c r="I47" s="199">
        <f>VLOOKUP(A47,Ventas!$A$5:$K$51,8,0)</f>
        <v/>
      </c>
      <c r="J47" s="138">
        <f>IF(H47=0,0,I47/H47)</f>
        <v/>
      </c>
      <c r="K47" s="216">
        <f>IF(J47=0,0,30/J47)</f>
        <v/>
      </c>
    </row>
    <row r="48" ht="15" customHeight="1" s="37">
      <c r="A48" s="97" t="inlineStr">
        <is>
          <t>ABA-014</t>
        </is>
      </c>
      <c r="B48" s="103">
        <f>VLOOKUP(A48,Catálogo!$A$5:$L$51,2,0)</f>
        <v/>
      </c>
      <c r="C48" s="103">
        <f>VLOOKUP(A48,Catálogo!$A$5:$L$51,3,0)</f>
        <v/>
      </c>
      <c r="D48" s="214">
        <f>VLOOKUP(A48,Catálogo!$A$5:$L$51,10,0)</f>
        <v/>
      </c>
      <c r="E48" s="215">
        <f>VLOOKUP(A48,Catálogo!$A$5:$L$51,5,0)</f>
        <v/>
      </c>
      <c r="F48" s="199">
        <f>D48*E48</f>
        <v/>
      </c>
      <c r="G48" s="196" t="n">
        <v>810</v>
      </c>
      <c r="H48" s="199">
        <f>(F48+G48)/2</f>
        <v/>
      </c>
      <c r="I48" s="199">
        <f>VLOOKUP(A48,Ventas!$A$5:$K$51,8,0)</f>
        <v/>
      </c>
      <c r="J48" s="138">
        <f>IF(H48=0,0,I48/H48)</f>
        <v/>
      </c>
      <c r="K48" s="216">
        <f>IF(J48=0,0,30/J48)</f>
        <v/>
      </c>
    </row>
    <row r="49" ht="15" customHeight="1" s="37">
      <c r="A49" s="97" t="inlineStr">
        <is>
          <t>ABA-015</t>
        </is>
      </c>
      <c r="B49" s="103">
        <f>VLOOKUP(A49,Catálogo!$A$5:$L$51,2,0)</f>
        <v/>
      </c>
      <c r="C49" s="103">
        <f>VLOOKUP(A49,Catálogo!$A$5:$L$51,3,0)</f>
        <v/>
      </c>
      <c r="D49" s="214">
        <f>VLOOKUP(A49,Catálogo!$A$5:$L$51,10,0)</f>
        <v/>
      </c>
      <c r="E49" s="215">
        <f>VLOOKUP(A49,Catálogo!$A$5:$L$51,5,0)</f>
        <v/>
      </c>
      <c r="F49" s="199">
        <f>D49*E49</f>
        <v/>
      </c>
      <c r="G49" s="196" t="n">
        <v>0</v>
      </c>
      <c r="H49" s="199">
        <f>(F49+G49)/2</f>
        <v/>
      </c>
      <c r="I49" s="199">
        <f>VLOOKUP(A49,Ventas!$A$5:$K$51,8,0)</f>
        <v/>
      </c>
      <c r="J49" s="138">
        <f>IF(H49=0,0,I49/H49)</f>
        <v/>
      </c>
      <c r="K49" s="216">
        <f>IF(J49=0,0,30/J49)</f>
        <v/>
      </c>
    </row>
    <row r="50" ht="15" customHeight="1" s="37">
      <c r="A50" s="97" t="inlineStr">
        <is>
          <t>ABA-016</t>
        </is>
      </c>
      <c r="B50" s="103">
        <f>VLOOKUP(A50,Catálogo!$A$5:$L$51,2,0)</f>
        <v/>
      </c>
      <c r="C50" s="103">
        <f>VLOOKUP(A50,Catálogo!$A$5:$L$51,3,0)</f>
        <v/>
      </c>
      <c r="D50" s="214">
        <f>VLOOKUP(A50,Catálogo!$A$5:$L$51,10,0)</f>
        <v/>
      </c>
      <c r="E50" s="215">
        <f>VLOOKUP(A50,Catálogo!$A$5:$L$51,5,0)</f>
        <v/>
      </c>
      <c r="F50" s="199">
        <f>D50*E50</f>
        <v/>
      </c>
      <c r="G50" s="196" t="n">
        <v>540</v>
      </c>
      <c r="H50" s="199">
        <f>(F50+G50)/2</f>
        <v/>
      </c>
      <c r="I50" s="199">
        <f>VLOOKUP(A50,Ventas!$A$5:$K$51,8,0)</f>
        <v/>
      </c>
      <c r="J50" s="138">
        <f>IF(H50=0,0,I50/H50)</f>
        <v/>
      </c>
      <c r="K50" s="216">
        <f>IF(J50=0,0,30/J50)</f>
        <v/>
      </c>
    </row>
    <row r="51" ht="15" customHeight="1" s="37">
      <c r="A51" s="97" t="inlineStr">
        <is>
          <t>ABA-017</t>
        </is>
      </c>
      <c r="B51" s="103">
        <f>VLOOKUP(A51,Catálogo!$A$5:$L$51,2,0)</f>
        <v/>
      </c>
      <c r="C51" s="103">
        <f>VLOOKUP(A51,Catálogo!$A$5:$L$51,3,0)</f>
        <v/>
      </c>
      <c r="D51" s="214">
        <f>VLOOKUP(A51,Catálogo!$A$5:$L$51,10,0)</f>
        <v/>
      </c>
      <c r="E51" s="215">
        <f>VLOOKUP(A51,Catálogo!$A$5:$L$51,5,0)</f>
        <v/>
      </c>
      <c r="F51" s="199">
        <f>D51*E51</f>
        <v/>
      </c>
      <c r="G51" s="196" t="n">
        <v>1500</v>
      </c>
      <c r="H51" s="199">
        <f>(F51+G51)/2</f>
        <v/>
      </c>
      <c r="I51" s="199">
        <f>VLOOKUP(A51,Ventas!$A$5:$K$51,8,0)</f>
        <v/>
      </c>
      <c r="J51" s="138">
        <f>IF(H51=0,0,I51/H51)</f>
        <v/>
      </c>
      <c r="K51" s="216">
        <f>IF(J51=0,0,30/J51)</f>
        <v/>
      </c>
    </row>
    <row r="52" ht="15" customHeight="1" s="37">
      <c r="A52" s="97" t="inlineStr">
        <is>
          <t>TOTAL</t>
        </is>
      </c>
      <c r="B52" s="140" t="n"/>
      <c r="C52" s="140" t="n"/>
      <c r="D52" s="217" t="n"/>
      <c r="E52" s="218" t="n"/>
      <c r="F52" s="219">
        <f>SUM(F5:F51)</f>
        <v/>
      </c>
      <c r="G52" s="196">
        <f>SUM(G5:G51)</f>
        <v/>
      </c>
      <c r="H52" s="219">
        <f>SUM(H5:H51)</f>
        <v/>
      </c>
      <c r="I52" s="219">
        <f>SUM(I5:I51)</f>
        <v/>
      </c>
      <c r="J52" s="144">
        <f>IF(H52=0,0,I52/H52)</f>
        <v/>
      </c>
      <c r="K52" s="220">
        <f>IF(J52=0,0,30/J52)</f>
        <v/>
      </c>
    </row>
  </sheetData>
  <mergeCells count="2">
    <mergeCell ref="A2:K2"/>
    <mergeCell ref="A1:K1"/>
  </mergeCell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H26"/>
  <sheetViews>
    <sheetView showGridLines="0" workbookViewId="0">
      <selection activeCell="A1" sqref="A1"/>
    </sheetView>
  </sheetViews>
  <sheetFormatPr baseColWidth="8" defaultRowHeight="15"/>
  <cols>
    <col width="5" customWidth="1" style="37" min="1" max="1"/>
    <col width="13" customWidth="1" style="37" min="2" max="2"/>
    <col width="34" customWidth="1" style="37" min="3" max="3"/>
    <col width="13" customWidth="1" style="37" min="4" max="4"/>
    <col width="11" customWidth="1" style="37" min="5" max="5"/>
    <col width="13" customWidth="1" style="37" min="6" max="6"/>
    <col width="14" customWidth="1" style="37" min="7" max="7"/>
    <col width="14" customWidth="1" style="37" min="8" max="8"/>
  </cols>
  <sheetData>
    <row r="1" ht="38" customHeight="1" s="37">
      <c r="A1" s="73" t="inlineStr">
        <is>
          <t>FORMULARIO DE PEDIDO — Distribuidora La Aurora</t>
        </is>
      </c>
    </row>
    <row r="2" ht="22" customHeight="1" s="37">
      <c r="A2" s="74" t="inlineStr">
        <is>
          <t>Captura el cliente y los productos. Los precios, IVA y totales se calculan automáticamente desde el Catálogo.</t>
        </is>
      </c>
    </row>
    <row r="4" ht="22" customHeight="1" s="37">
      <c r="A4" s="75" t="inlineStr">
        <is>
          <t>ID del pedido</t>
        </is>
      </c>
      <c r="B4" s="76">
        <f>"PED-"&amp;TEXT(TODAY(),"yymmdd")&amp;"-"&amp;TEXT(RANDBETWEEN(100,999),"000")</f>
        <v/>
      </c>
      <c r="D4" s="75" t="inlineStr">
        <is>
          <t>Fecha</t>
        </is>
      </c>
      <c r="E4" s="160">
        <f>TODAY()</f>
        <v/>
      </c>
      <c r="G4" s="75" t="inlineStr">
        <is>
          <t>Vencimiento</t>
        </is>
      </c>
      <c r="H4" s="160">
        <f>E4+15</f>
        <v/>
      </c>
    </row>
    <row r="5" ht="22" customHeight="1" s="37">
      <c r="A5" s="75" t="inlineStr">
        <is>
          <t>Cliente</t>
        </is>
      </c>
      <c r="B5" s="78" t="inlineStr">
        <is>
          <t>Hotel Plaza Sur</t>
        </is>
      </c>
      <c r="D5" s="75" t="inlineStr">
        <is>
          <t>Tipo de cliente</t>
        </is>
      </c>
      <c r="E5" s="161">
        <f>IFERROR(VLOOKUP(B5, 'Catálogo Clientes'!$A$5:$H$15, 2, 0), "-")</f>
        <v/>
      </c>
      <c r="G5" s="75" t="inlineStr">
        <is>
          <t>Condición de pago</t>
        </is>
      </c>
      <c r="H5" s="161">
        <f>IFERROR(VLOOKUP(B5, 'Catálogo Clientes'!$A$5:$H$15, 4, 0), "Contado")</f>
        <v/>
      </c>
    </row>
    <row r="6" ht="22" customHeight="1" s="37">
      <c r="A6" s="75" t="inlineStr">
        <is>
          <t>RFC del cliente</t>
        </is>
      </c>
      <c r="B6" s="53">
        <f>IFERROR(VLOOKUP(B5, 'Catálogo Clientes'!$A$5:$H$15, 3, 0), "-")</f>
        <v/>
      </c>
      <c r="D6" s="75" t="inlineStr">
        <is>
          <t>Ciudad</t>
        </is>
      </c>
      <c r="E6" s="53">
        <f>IFERROR(VLOOKUP(B5, 'Catálogo Clientes'!$A$5:$H$15, 6, 0), "-")</f>
        <v/>
      </c>
      <c r="G6" s="75" t="inlineStr">
        <is>
          <t>Crédito</t>
        </is>
      </c>
      <c r="H6" s="53">
        <f>IFERROR(VLOOKUP(B5, 'Catálogo Clientes'!$A$5:$H$15, 5, 0)&amp;" días","-")</f>
        <v/>
      </c>
    </row>
    <row r="7" ht="26" customHeight="1" s="37">
      <c r="A7" s="79" t="inlineStr">
        <is>
          <t>PARTIDAS DEL PEDIDO</t>
        </is>
      </c>
    </row>
    <row r="8" ht="30" customHeight="1" s="37">
      <c r="A8" s="52" t="inlineStr">
        <is>
          <t>#</t>
        </is>
      </c>
      <c r="B8" s="52" t="inlineStr">
        <is>
          <t>SKU</t>
        </is>
      </c>
      <c r="C8" s="52" t="inlineStr">
        <is>
          <t>Producto</t>
        </is>
      </c>
      <c r="D8" s="52" t="inlineStr">
        <is>
          <t>Categoría</t>
        </is>
      </c>
      <c r="E8" s="52" t="inlineStr">
        <is>
          <t>Cantidad</t>
        </is>
      </c>
      <c r="F8" s="52" t="inlineStr">
        <is>
          <t>Precio Unit.</t>
        </is>
      </c>
      <c r="G8" s="52" t="inlineStr">
        <is>
          <t>Subtotal</t>
        </is>
      </c>
      <c r="H8" s="52" t="inlineStr">
        <is>
          <t>Total c/IVA</t>
        </is>
      </c>
    </row>
    <row r="9" ht="22" customHeight="1" s="37">
      <c r="A9" s="80" t="n">
        <v>1</v>
      </c>
      <c r="B9" s="81" t="inlineStr">
        <is>
          <t>LAC-001</t>
        </is>
      </c>
      <c r="C9" s="82">
        <f>IFERROR(VLOOKUP(B9,Catálogo!$A$5:$L$51,2,0),"")</f>
        <v/>
      </c>
      <c r="D9" s="82">
        <f>IFERROR(VLOOKUP(B9,Catálogo!$A$5:$L$51,3,0),"")</f>
        <v/>
      </c>
      <c r="E9" s="162" t="n">
        <v>10</v>
      </c>
      <c r="F9" s="163">
        <f>IFERROR(VLOOKUP(B9,Catálogo!$A$5:$L$51,6,0),"")</f>
        <v/>
      </c>
      <c r="G9" s="163">
        <f>IFERROR(E9*F9,"")</f>
        <v/>
      </c>
      <c r="H9" s="163">
        <f>IFERROR(G9*(1+VLOOKUP(B9,Catálogo!$A$5:$L$51,9,0)),"")</f>
        <v/>
      </c>
    </row>
    <row r="10" ht="22" customHeight="1" s="37">
      <c r="A10" s="80" t="n">
        <v>2</v>
      </c>
      <c r="B10" s="81" t="inlineStr">
        <is>
          <t>EMB-001</t>
        </is>
      </c>
      <c r="C10" s="82">
        <f>IFERROR(VLOOKUP(B10,Catálogo!$A$5:$L$51,2,0),"")</f>
        <v/>
      </c>
      <c r="D10" s="82">
        <f>IFERROR(VLOOKUP(B10,Catálogo!$A$5:$L$51,3,0),"")</f>
        <v/>
      </c>
      <c r="E10" s="162" t="n">
        <v>5</v>
      </c>
      <c r="F10" s="163">
        <f>IFERROR(VLOOKUP(B10,Catálogo!$A$5:$L$51,6,0),"")</f>
        <v/>
      </c>
      <c r="G10" s="163">
        <f>IFERROR(E10*F10,"")</f>
        <v/>
      </c>
      <c r="H10" s="163">
        <f>IFERROR(G10*(1+VLOOKUP(B10,Catálogo!$A$5:$L$51,9,0)),"")</f>
        <v/>
      </c>
    </row>
    <row r="11" ht="22" customHeight="1" s="37">
      <c r="A11" s="80" t="n">
        <v>3</v>
      </c>
      <c r="B11" s="81" t="inlineStr">
        <is>
          <t>ABA-002</t>
        </is>
      </c>
      <c r="C11" s="82">
        <f>IFERROR(VLOOKUP(B11,Catálogo!$A$5:$L$51,2,0),"")</f>
        <v/>
      </c>
      <c r="D11" s="82">
        <f>IFERROR(VLOOKUP(B11,Catálogo!$A$5:$L$51,3,0),"")</f>
        <v/>
      </c>
      <c r="E11" s="162" t="n">
        <v>12</v>
      </c>
      <c r="F11" s="163">
        <f>IFERROR(VLOOKUP(B11,Catálogo!$A$5:$L$51,6,0),"")</f>
        <v/>
      </c>
      <c r="G11" s="163">
        <f>IFERROR(E11*F11,"")</f>
        <v/>
      </c>
      <c r="H11" s="163">
        <f>IFERROR(G11*(1+VLOOKUP(B11,Catálogo!$A$5:$L$51,9,0)),"")</f>
        <v/>
      </c>
    </row>
    <row r="12" ht="22" customHeight="1" s="37">
      <c r="A12" s="80" t="n">
        <v>4</v>
      </c>
      <c r="B12" s="81" t="n"/>
      <c r="C12" s="82">
        <f>IFERROR(VLOOKUP(B12,Catálogo!$A$5:$L$51,2,0),"")</f>
        <v/>
      </c>
      <c r="D12" s="82">
        <f>IFERROR(VLOOKUP(B12,Catálogo!$A$5:$L$51,3,0),"")</f>
        <v/>
      </c>
      <c r="E12" s="162" t="n"/>
      <c r="F12" s="163">
        <f>IFERROR(VLOOKUP(B12,Catálogo!$A$5:$L$51,6,0),"")</f>
        <v/>
      </c>
      <c r="G12" s="163">
        <f>IFERROR(E12*F12,"")</f>
        <v/>
      </c>
      <c r="H12" s="163">
        <f>IFERROR(G12*(1+VLOOKUP(B12,Catálogo!$A$5:$L$51,9,0)),"")</f>
        <v/>
      </c>
    </row>
    <row r="13" ht="22" customHeight="1" s="37">
      <c r="A13" s="80" t="n">
        <v>5</v>
      </c>
      <c r="B13" s="81" t="n"/>
      <c r="C13" s="82">
        <f>IFERROR(VLOOKUP(B13,Catálogo!$A$5:$L$51,2,0),"")</f>
        <v/>
      </c>
      <c r="D13" s="82">
        <f>IFERROR(VLOOKUP(B13,Catálogo!$A$5:$L$51,3,0),"")</f>
        <v/>
      </c>
      <c r="E13" s="162" t="n"/>
      <c r="F13" s="163">
        <f>IFERROR(VLOOKUP(B13,Catálogo!$A$5:$L$51,6,0),"")</f>
        <v/>
      </c>
      <c r="G13" s="163">
        <f>IFERROR(E13*F13,"")</f>
        <v/>
      </c>
      <c r="H13" s="163">
        <f>IFERROR(G13*(1+VLOOKUP(B13,Catálogo!$A$5:$L$51,9,0)),"")</f>
        <v/>
      </c>
    </row>
    <row r="14" ht="22" customHeight="1" s="37">
      <c r="A14" s="80" t="n">
        <v>6</v>
      </c>
      <c r="B14" s="81" t="n"/>
      <c r="C14" s="82">
        <f>IFERROR(VLOOKUP(B14,Catálogo!$A$5:$L$51,2,0),"")</f>
        <v/>
      </c>
      <c r="D14" s="82">
        <f>IFERROR(VLOOKUP(B14,Catálogo!$A$5:$L$51,3,0),"")</f>
        <v/>
      </c>
      <c r="E14" s="162" t="n"/>
      <c r="F14" s="163">
        <f>IFERROR(VLOOKUP(B14,Catálogo!$A$5:$L$51,6,0),"")</f>
        <v/>
      </c>
      <c r="G14" s="163">
        <f>IFERROR(E14*F14,"")</f>
        <v/>
      </c>
      <c r="H14" s="163">
        <f>IFERROR(G14*(1+VLOOKUP(B14,Catálogo!$A$5:$L$51,9,0)),"")</f>
        <v/>
      </c>
    </row>
    <row r="15" ht="22" customHeight="1" s="37">
      <c r="A15" s="80" t="n">
        <v>7</v>
      </c>
      <c r="B15" s="81" t="n"/>
      <c r="C15" s="82">
        <f>IFERROR(VLOOKUP(B15,Catálogo!$A$5:$L$51,2,0),"")</f>
        <v/>
      </c>
      <c r="D15" s="82">
        <f>IFERROR(VLOOKUP(B15,Catálogo!$A$5:$L$51,3,0),"")</f>
        <v/>
      </c>
      <c r="E15" s="162" t="n"/>
      <c r="F15" s="163">
        <f>IFERROR(VLOOKUP(B15,Catálogo!$A$5:$L$51,6,0),"")</f>
        <v/>
      </c>
      <c r="G15" s="163">
        <f>IFERROR(E15*F15,"")</f>
        <v/>
      </c>
      <c r="H15" s="163">
        <f>IFERROR(G15*(1+VLOOKUP(B15,Catálogo!$A$5:$L$51,9,0)),"")</f>
        <v/>
      </c>
    </row>
    <row r="16" ht="22" customHeight="1" s="37">
      <c r="A16" s="80" t="n">
        <v>8</v>
      </c>
      <c r="B16" s="81" t="n"/>
      <c r="C16" s="82">
        <f>IFERROR(VLOOKUP(B16,Catálogo!$A$5:$L$51,2,0),"")</f>
        <v/>
      </c>
      <c r="D16" s="82">
        <f>IFERROR(VLOOKUP(B16,Catálogo!$A$5:$L$51,3,0),"")</f>
        <v/>
      </c>
      <c r="E16" s="162" t="n"/>
      <c r="F16" s="163">
        <f>IFERROR(VLOOKUP(B16,Catálogo!$A$5:$L$51,6,0),"")</f>
        <v/>
      </c>
      <c r="G16" s="163">
        <f>IFERROR(E16*F16,"")</f>
        <v/>
      </c>
      <c r="H16" s="163">
        <f>IFERROR(G16*(1+VLOOKUP(B16,Catálogo!$A$5:$L$51,9,0)),"")</f>
        <v/>
      </c>
    </row>
    <row r="17" ht="22" customHeight="1" s="37">
      <c r="A17" s="80" t="n">
        <v>9</v>
      </c>
      <c r="B17" s="81" t="n"/>
      <c r="C17" s="82">
        <f>IFERROR(VLOOKUP(B17,Catálogo!$A$5:$L$51,2,0),"")</f>
        <v/>
      </c>
      <c r="D17" s="82">
        <f>IFERROR(VLOOKUP(B17,Catálogo!$A$5:$L$51,3,0),"")</f>
        <v/>
      </c>
      <c r="E17" s="162" t="n"/>
      <c r="F17" s="163">
        <f>IFERROR(VLOOKUP(B17,Catálogo!$A$5:$L$51,6,0),"")</f>
        <v/>
      </c>
      <c r="G17" s="163">
        <f>IFERROR(E17*F17,"")</f>
        <v/>
      </c>
      <c r="H17" s="163">
        <f>IFERROR(G17*(1+VLOOKUP(B17,Catálogo!$A$5:$L$51,9,0)),"")</f>
        <v/>
      </c>
    </row>
    <row r="18" ht="22" customHeight="1" s="37">
      <c r="A18" s="80" t="n">
        <v>10</v>
      </c>
      <c r="B18" s="81" t="n"/>
      <c r="C18" s="82">
        <f>IFERROR(VLOOKUP(B18,Catálogo!$A$5:$L$51,2,0),"")</f>
        <v/>
      </c>
      <c r="D18" s="82">
        <f>IFERROR(VLOOKUP(B18,Catálogo!$A$5:$L$51,3,0),"")</f>
        <v/>
      </c>
      <c r="E18" s="162" t="n"/>
      <c r="F18" s="163">
        <f>IFERROR(VLOOKUP(B18,Catálogo!$A$5:$L$51,6,0),"")</f>
        <v/>
      </c>
      <c r="G18" s="163">
        <f>IFERROR(E18*F18,"")</f>
        <v/>
      </c>
      <c r="H18" s="163">
        <f>IFERROR(G18*(1+VLOOKUP(B18,Catálogo!$A$5:$L$51,9,0)),"")</f>
        <v/>
      </c>
    </row>
    <row r="19" ht="22" customHeight="1" s="37">
      <c r="A19" s="80" t="n">
        <v>11</v>
      </c>
      <c r="B19" s="81" t="n"/>
      <c r="C19" s="82">
        <f>IFERROR(VLOOKUP(B19,Catálogo!$A$5:$L$51,2,0),"")</f>
        <v/>
      </c>
      <c r="D19" s="82">
        <f>IFERROR(VLOOKUP(B19,Catálogo!$A$5:$L$51,3,0),"")</f>
        <v/>
      </c>
      <c r="E19" s="162" t="n"/>
      <c r="F19" s="163">
        <f>IFERROR(VLOOKUP(B19,Catálogo!$A$5:$L$51,6,0),"")</f>
        <v/>
      </c>
      <c r="G19" s="163">
        <f>IFERROR(E19*F19,"")</f>
        <v/>
      </c>
      <c r="H19" s="163">
        <f>IFERROR(G19*(1+VLOOKUP(B19,Catálogo!$A$5:$L$51,9,0)),"")</f>
        <v/>
      </c>
    </row>
    <row r="20" ht="22" customHeight="1" s="37">
      <c r="A20" s="80" t="n">
        <v>12</v>
      </c>
      <c r="B20" s="81" t="n"/>
      <c r="C20" s="82">
        <f>IFERROR(VLOOKUP(B20,Catálogo!$A$5:$L$51,2,0),"")</f>
        <v/>
      </c>
      <c r="D20" s="82">
        <f>IFERROR(VLOOKUP(B20,Catálogo!$A$5:$L$51,3,0),"")</f>
        <v/>
      </c>
      <c r="E20" s="162" t="n"/>
      <c r="F20" s="163">
        <f>IFERROR(VLOOKUP(B20,Catálogo!$A$5:$L$51,6,0),"")</f>
        <v/>
      </c>
      <c r="G20" s="163">
        <f>IFERROR(E20*F20,"")</f>
        <v/>
      </c>
      <c r="H20" s="163">
        <f>IFERROR(G20*(1+VLOOKUP(B20,Catálogo!$A$5:$L$51,9,0)),"")</f>
        <v/>
      </c>
    </row>
    <row r="22" ht="26" customHeight="1" s="37">
      <c r="A22" s="85" t="inlineStr">
        <is>
          <t>Subtotal:</t>
        </is>
      </c>
      <c r="G22" s="164">
        <f>SUM(G9:G20)</f>
        <v/>
      </c>
      <c r="H22" s="164">
        <f>SUM(H9:H20)</f>
        <v/>
      </c>
    </row>
    <row r="23" ht="22" customHeight="1" s="37">
      <c r="A23" s="85" t="inlineStr">
        <is>
          <t>IVA total:</t>
        </is>
      </c>
      <c r="G23" s="165">
        <f>H22-G22</f>
        <v/>
      </c>
      <c r="H23" s="157" t="n"/>
    </row>
    <row r="24" ht="32" customHeight="1" s="37">
      <c r="A24" s="88" t="inlineStr">
        <is>
          <t>TOTAL A PAGAR:</t>
        </is>
      </c>
      <c r="B24" s="166" t="n"/>
      <c r="C24" s="166" t="n"/>
      <c r="D24" s="166" t="n"/>
      <c r="E24" s="166" t="n"/>
      <c r="F24" s="167" t="n"/>
      <c r="G24" s="168">
        <f>H22</f>
        <v/>
      </c>
      <c r="H24" s="167" t="n"/>
    </row>
    <row r="26" ht="28" customHeight="1" s="37">
      <c r="A26" s="90" t="inlineStr">
        <is>
          <t>Productos destinados a la alimentación humana — IVA tasa 0% conforme al Art. 2o.-A, fracc. I, inciso b) de la Ley del IVA. Otros productos (no alimenticios) acumulan IVA 16%.</t>
        </is>
      </c>
    </row>
  </sheetData>
  <mergeCells count="9">
    <mergeCell ref="A24:F24"/>
    <mergeCell ref="A26:H26"/>
    <mergeCell ref="A7:H7"/>
    <mergeCell ref="G24:H24"/>
    <mergeCell ref="A2:H2"/>
    <mergeCell ref="A23:F23"/>
    <mergeCell ref="A22:F22"/>
    <mergeCell ref="G23:H23"/>
    <mergeCell ref="A1:H1"/>
  </mergeCells>
  <dataValidations count="2">
    <dataValidation sqref="B9:B20" showDropDown="0" showInputMessage="0" showErrorMessage="0" allowBlank="1" errorTitle="SKU inválido" error="SKU no existe en el Catálogo" promptTitle="Selecciona SKU" prompt="Elige un SKU del Catálogo" type="list">
      <formula1>=Catálogo!$A$5:$A$51</formula1>
    </dataValidation>
    <dataValidation sqref="B5" showDropDown="0" showInputMessage="0" showErrorMessage="0" allowBlank="0" errorTitle="Cliente inválido" error="Cliente no existe en el Catálogo Clientes" promptTitle="Selecciona Cliente" prompt="Elige un cliente del Catálogo" type="list">
      <formula1>='Catálogo Clientes'!$A$5:$A$15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I25"/>
  <sheetViews>
    <sheetView showGridLines="0"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17" customWidth="1" style="37" min="1" max="1"/>
    <col width="13" customWidth="1" style="37" min="2" max="2"/>
    <col width="26" customWidth="1" style="37" min="3" max="3"/>
    <col width="13" customWidth="1" style="37" min="4" max="4"/>
    <col width="9" customWidth="1" style="37" min="5" max="5"/>
    <col width="13" customWidth="1" style="37" min="6" max="6"/>
    <col width="13" customWidth="1" style="37" min="7" max="7"/>
    <col width="15" customWidth="1" style="37" min="8" max="8"/>
    <col width="18" customWidth="1" style="37" min="9" max="9"/>
  </cols>
  <sheetData>
    <row r="1" ht="30" customHeight="1" s="37">
      <c r="A1" s="91" t="inlineStr">
        <is>
          <t>Histórico de pedidos — registro acumulado</t>
        </is>
      </c>
    </row>
    <row r="2" ht="22" customHeight="1" s="37">
      <c r="A2" s="74" t="inlineStr">
        <is>
          <t>Cada renglón es un pedido capturado. Cuando completas el formulario en la hoja Pedidos, copia el resumen aquí para mantener historial.</t>
        </is>
      </c>
    </row>
    <row r="4" ht="30" customHeight="1" s="37">
      <c r="A4" s="52" t="inlineStr">
        <is>
          <t>ID Pedido</t>
        </is>
      </c>
      <c r="B4" s="52" t="inlineStr">
        <is>
          <t>Fecha</t>
        </is>
      </c>
      <c r="C4" s="52" t="inlineStr">
        <is>
          <t>Cliente</t>
        </is>
      </c>
      <c r="D4" s="52" t="inlineStr">
        <is>
          <t>Tipo</t>
        </is>
      </c>
      <c r="E4" s="52" t="inlineStr">
        <is>
          <t># Items</t>
        </is>
      </c>
      <c r="F4" s="52" t="inlineStr">
        <is>
          <t>Subtotal</t>
        </is>
      </c>
      <c r="G4" s="52" t="inlineStr">
        <is>
          <t>IVA</t>
        </is>
      </c>
      <c r="H4" s="52" t="inlineStr">
        <is>
          <t>Total c/IVA</t>
        </is>
      </c>
      <c r="I4" s="52" t="inlineStr">
        <is>
          <t>Notas</t>
        </is>
      </c>
    </row>
    <row r="5">
      <c r="A5" s="92" t="inlineStr">
        <is>
          <t>PED-260514-247</t>
        </is>
      </c>
      <c r="B5" s="92" t="inlineStr">
        <is>
          <t>2026-05-14</t>
        </is>
      </c>
      <c r="C5" s="92" t="inlineStr">
        <is>
          <t>Cafetería Central</t>
        </is>
      </c>
      <c r="D5" s="92" t="inlineStr">
        <is>
          <t>Cafetería</t>
        </is>
      </c>
      <c r="E5" s="67" t="n">
        <v>4</v>
      </c>
      <c r="F5" s="169" t="n">
        <v>1845</v>
      </c>
      <c r="G5" s="170" t="n">
        <v>0</v>
      </c>
      <c r="H5" s="169" t="n">
        <v>1845</v>
      </c>
      <c r="I5" s="65" t="inlineStr">
        <is>
          <t>Surtido 8:00</t>
        </is>
      </c>
    </row>
    <row r="6">
      <c r="A6" s="92" t="inlineStr">
        <is>
          <t>PED-260514-301</t>
        </is>
      </c>
      <c r="B6" s="92" t="inlineStr">
        <is>
          <t>2026-05-14</t>
        </is>
      </c>
      <c r="C6" s="92" t="inlineStr">
        <is>
          <t>Restaurante El Fogón</t>
        </is>
      </c>
      <c r="D6" s="92" t="inlineStr">
        <is>
          <t>Restaurante</t>
        </is>
      </c>
      <c r="E6" s="67" t="n">
        <v>7</v>
      </c>
      <c r="F6" s="169" t="n">
        <v>3920</v>
      </c>
      <c r="G6" s="170" t="n">
        <v>124</v>
      </c>
      <c r="H6" s="169" t="n">
        <v>4044</v>
      </c>
      <c r="I6" s="65" t="inlineStr">
        <is>
          <t>Crédito 15 d</t>
        </is>
      </c>
    </row>
    <row r="7">
      <c r="A7" s="92" t="inlineStr">
        <is>
          <t>PED-260514-418</t>
        </is>
      </c>
      <c r="B7" s="92" t="inlineStr">
        <is>
          <t>2026-05-14</t>
        </is>
      </c>
      <c r="C7" s="92" t="inlineStr">
        <is>
          <t>Cocina Económica Lupita</t>
        </is>
      </c>
      <c r="D7" s="92" t="inlineStr">
        <is>
          <t>Fonda</t>
        </is>
      </c>
      <c r="E7" s="67" t="n">
        <v>3</v>
      </c>
      <c r="F7" s="169" t="n">
        <v>1240</v>
      </c>
      <c r="G7" s="170" t="n">
        <v>0</v>
      </c>
      <c r="H7" s="169" t="n">
        <v>1240</v>
      </c>
      <c r="I7" s="65" t="inlineStr">
        <is>
          <t>Surtido 11:00</t>
        </is>
      </c>
    </row>
    <row r="8">
      <c r="A8" s="92" t="inlineStr">
        <is>
          <t>PED-260513-152</t>
        </is>
      </c>
      <c r="B8" s="92" t="inlineStr">
        <is>
          <t>2026-05-13</t>
        </is>
      </c>
      <c r="C8" s="92" t="inlineStr">
        <is>
          <t>Hotel Mibani</t>
        </is>
      </c>
      <c r="D8" s="92" t="inlineStr">
        <is>
          <t>Hotel</t>
        </is>
      </c>
      <c r="E8" s="67" t="n">
        <v>5</v>
      </c>
      <c r="F8" s="169" t="n">
        <v>2680</v>
      </c>
      <c r="G8" s="170" t="n">
        <v>88</v>
      </c>
      <c r="H8" s="169" t="n">
        <v>2768</v>
      </c>
      <c r="I8" s="65" t="inlineStr">
        <is>
          <t>Crédito 30 d</t>
        </is>
      </c>
    </row>
    <row r="9">
      <c r="A9" s="92" t="inlineStr">
        <is>
          <t>PED-260513-289</t>
        </is>
      </c>
      <c r="B9" s="92" t="inlineStr">
        <is>
          <t>2026-05-13</t>
        </is>
      </c>
      <c r="C9" s="92" t="inlineStr">
        <is>
          <t>Taquería La Once</t>
        </is>
      </c>
      <c r="D9" s="92" t="inlineStr">
        <is>
          <t>Restaurante</t>
        </is>
      </c>
      <c r="E9" s="67" t="n">
        <v>6</v>
      </c>
      <c r="F9" s="169" t="n">
        <v>3150</v>
      </c>
      <c r="G9" s="170" t="n">
        <v>0</v>
      </c>
      <c r="H9" s="169" t="n">
        <v>3150</v>
      </c>
      <c r="I9" s="65" t="inlineStr">
        <is>
          <t>Contado</t>
        </is>
      </c>
    </row>
    <row r="10">
      <c r="A10" s="92" t="inlineStr">
        <is>
          <t>PED-260512-405</t>
        </is>
      </c>
      <c r="B10" s="92" t="inlineStr">
        <is>
          <t>2026-05-12</t>
        </is>
      </c>
      <c r="C10" s="92" t="inlineStr">
        <is>
          <t>Cafetería Central</t>
        </is>
      </c>
      <c r="D10" s="92" t="inlineStr">
        <is>
          <t>Cafetería</t>
        </is>
      </c>
      <c r="E10" s="67" t="n">
        <v>5</v>
      </c>
      <c r="F10" s="169" t="n">
        <v>2090</v>
      </c>
      <c r="G10" s="170" t="n">
        <v>0</v>
      </c>
      <c r="H10" s="169" t="n">
        <v>2090</v>
      </c>
      <c r="I10" s="65" t="inlineStr">
        <is>
          <t>Surtido 8:00</t>
        </is>
      </c>
    </row>
    <row r="11">
      <c r="A11" s="92" t="inlineStr">
        <is>
          <t>PED-260512-571</t>
        </is>
      </c>
      <c r="B11" s="92" t="inlineStr">
        <is>
          <t>2026-05-12</t>
        </is>
      </c>
      <c r="C11" s="92" t="inlineStr">
        <is>
          <t>Hotel Plaza Sur</t>
        </is>
      </c>
      <c r="D11" s="92" t="inlineStr">
        <is>
          <t>Hotel</t>
        </is>
      </c>
      <c r="E11" s="67" t="n">
        <v>9</v>
      </c>
      <c r="F11" s="169" t="n">
        <v>4980</v>
      </c>
      <c r="G11" s="170" t="n">
        <v>160</v>
      </c>
      <c r="H11" s="169" t="n">
        <v>5140</v>
      </c>
      <c r="I11" s="65" t="inlineStr">
        <is>
          <t>Crédito 15 d</t>
        </is>
      </c>
    </row>
    <row r="12">
      <c r="A12" s="92" t="inlineStr">
        <is>
          <t>PED-260511-118</t>
        </is>
      </c>
      <c r="B12" s="92" t="inlineStr">
        <is>
          <t>2026-05-11</t>
        </is>
      </c>
      <c r="C12" s="92" t="inlineStr">
        <is>
          <t>Mercado Roma — Local 12</t>
        </is>
      </c>
      <c r="D12" s="92" t="inlineStr">
        <is>
          <t>Retail</t>
        </is>
      </c>
      <c r="E12" s="67" t="n">
        <v>4</v>
      </c>
      <c r="F12" s="169" t="n">
        <v>1850</v>
      </c>
      <c r="G12" s="170" t="n">
        <v>0</v>
      </c>
      <c r="H12" s="169" t="n">
        <v>1850</v>
      </c>
      <c r="I12" s="65" t="inlineStr">
        <is>
          <t>Contado</t>
        </is>
      </c>
    </row>
    <row r="13">
      <c r="A13" s="171" t="inlineStr">
        <is>
          <t>PED-260510-621</t>
        </is>
      </c>
      <c r="B13" s="172" t="inlineStr">
        <is>
          <t>2026-05-10</t>
        </is>
      </c>
      <c r="C13" s="171" t="inlineStr">
        <is>
          <t>Marisquería El Puerto</t>
        </is>
      </c>
      <c r="D13" s="171" t="inlineStr">
        <is>
          <t>Restaurante</t>
        </is>
      </c>
      <c r="E13" s="173" t="n">
        <v>6</v>
      </c>
      <c r="F13" s="174" t="n">
        <v>2780</v>
      </c>
      <c r="G13" s="175" t="n">
        <v>0</v>
      </c>
      <c r="H13" s="174" t="n">
        <v>2780</v>
      </c>
      <c r="I13" s="176" t="inlineStr">
        <is>
          <t>Contado · viernes</t>
        </is>
      </c>
    </row>
    <row r="14">
      <c r="A14" s="171" t="inlineStr">
        <is>
          <t>PED-260510-755</t>
        </is>
      </c>
      <c r="B14" s="172" t="inlineStr">
        <is>
          <t>2026-05-10</t>
        </is>
      </c>
      <c r="C14" s="171" t="inlineStr">
        <is>
          <t>Hotel Camino Real Polanco</t>
        </is>
      </c>
      <c r="D14" s="171" t="inlineStr">
        <is>
          <t>Hotel</t>
        </is>
      </c>
      <c r="E14" s="173" t="n">
        <v>14</v>
      </c>
      <c r="F14" s="174" t="n">
        <v>7250</v>
      </c>
      <c r="G14" s="175" t="n">
        <v>198</v>
      </c>
      <c r="H14" s="174" t="n">
        <v>7448</v>
      </c>
      <c r="I14" s="176" t="inlineStr">
        <is>
          <t>Crédito 30 d</t>
        </is>
      </c>
    </row>
    <row r="15">
      <c r="A15" s="171" t="inlineStr">
        <is>
          <t>PED-260509-833</t>
        </is>
      </c>
      <c r="B15" s="172" t="inlineStr">
        <is>
          <t>2026-05-09</t>
        </is>
      </c>
      <c r="C15" s="171" t="inlineStr">
        <is>
          <t>Abarrotes Don Beto</t>
        </is>
      </c>
      <c r="D15" s="171" t="inlineStr">
        <is>
          <t>Retail</t>
        </is>
      </c>
      <c r="E15" s="173" t="n">
        <v>8</v>
      </c>
      <c r="F15" s="174" t="n">
        <v>2940</v>
      </c>
      <c r="G15" s="175" t="n">
        <v>142</v>
      </c>
      <c r="H15" s="174" t="n">
        <v>3082</v>
      </c>
      <c r="I15" s="176" t="inlineStr">
        <is>
          <t>Mostrador</t>
        </is>
      </c>
    </row>
    <row r="16">
      <c r="A16" s="171" t="inlineStr">
        <is>
          <t>PED-260508-901</t>
        </is>
      </c>
      <c r="B16" s="172" t="inlineStr">
        <is>
          <t>2026-05-08</t>
        </is>
      </c>
      <c r="C16" s="171" t="inlineStr">
        <is>
          <t>Catering Romántico SA</t>
        </is>
      </c>
      <c r="D16" s="171" t="inlineStr">
        <is>
          <t>Mayoreo</t>
        </is>
      </c>
      <c r="E16" s="173" t="n">
        <v>11</v>
      </c>
      <c r="F16" s="174" t="n">
        <v>4620</v>
      </c>
      <c r="G16" s="175" t="n">
        <v>134</v>
      </c>
      <c r="H16" s="174" t="n">
        <v>4754</v>
      </c>
      <c r="I16" s="176" t="inlineStr">
        <is>
          <t>⚠ Cuenta vencida 73 días</t>
        </is>
      </c>
    </row>
    <row r="17">
      <c r="A17" s="171" t="inlineStr">
        <is>
          <t>PED-260508-126</t>
        </is>
      </c>
      <c r="B17" s="172" t="inlineStr">
        <is>
          <t>2026-05-08</t>
        </is>
      </c>
      <c r="C17" s="171" t="inlineStr">
        <is>
          <t>Hotel Plaza Sur</t>
        </is>
      </c>
      <c r="D17" s="171" t="inlineStr">
        <is>
          <t>Hotel</t>
        </is>
      </c>
      <c r="E17" s="173" t="n">
        <v>8</v>
      </c>
      <c r="F17" s="174" t="n">
        <v>3850</v>
      </c>
      <c r="G17" s="175" t="n">
        <v>124</v>
      </c>
      <c r="H17" s="174" t="n">
        <v>3974</v>
      </c>
      <c r="I17" s="176" t="inlineStr">
        <is>
          <t>Crédito 15 d</t>
        </is>
      </c>
    </row>
    <row r="18">
      <c r="A18" s="171" t="inlineStr">
        <is>
          <t>PED-260507-280</t>
        </is>
      </c>
      <c r="B18" s="172" t="inlineStr">
        <is>
          <t>2026-05-07</t>
        </is>
      </c>
      <c r="C18" s="171" t="inlineStr">
        <is>
          <t>Restaurante El Fogón</t>
        </is>
      </c>
      <c r="D18" s="171" t="inlineStr">
        <is>
          <t>Restaurante</t>
        </is>
      </c>
      <c r="E18" s="173" t="n">
        <v>5</v>
      </c>
      <c r="F18" s="174" t="n">
        <v>2840</v>
      </c>
      <c r="G18" s="175" t="n">
        <v>92</v>
      </c>
      <c r="H18" s="174" t="n">
        <v>2932</v>
      </c>
      <c r="I18" s="176" t="inlineStr">
        <is>
          <t>Crédito 15 d</t>
        </is>
      </c>
    </row>
    <row r="19">
      <c r="A19" s="171" t="inlineStr">
        <is>
          <t>PED-260506-394</t>
        </is>
      </c>
      <c r="B19" s="172" t="inlineStr">
        <is>
          <t>2026-05-06</t>
        </is>
      </c>
      <c r="C19" s="171" t="inlineStr">
        <is>
          <t>Hotel Mibani</t>
        </is>
      </c>
      <c r="D19" s="171" t="inlineStr">
        <is>
          <t>Hotel</t>
        </is>
      </c>
      <c r="E19" s="173" t="n">
        <v>9</v>
      </c>
      <c r="F19" s="174" t="n">
        <v>5120</v>
      </c>
      <c r="G19" s="175" t="n">
        <v>168</v>
      </c>
      <c r="H19" s="174" t="n">
        <v>5288</v>
      </c>
      <c r="I19" s="176" t="inlineStr">
        <is>
          <t>Crédito 30 d</t>
        </is>
      </c>
    </row>
    <row r="20">
      <c r="A20" s="171" t="inlineStr">
        <is>
          <t>PED-260505-512</t>
        </is>
      </c>
      <c r="B20" s="172" t="inlineStr">
        <is>
          <t>2026-05-05</t>
        </is>
      </c>
      <c r="C20" s="171" t="inlineStr">
        <is>
          <t>Cafetería Central</t>
        </is>
      </c>
      <c r="D20" s="171" t="inlineStr">
        <is>
          <t>Cafetería</t>
        </is>
      </c>
      <c r="E20" s="173" t="n">
        <v>3</v>
      </c>
      <c r="F20" s="174" t="n">
        <v>1180</v>
      </c>
      <c r="G20" s="175" t="n">
        <v>0</v>
      </c>
      <c r="H20" s="174" t="n">
        <v>1180</v>
      </c>
      <c r="I20" s="176" t="inlineStr">
        <is>
          <t>Contado</t>
        </is>
      </c>
    </row>
    <row r="21">
      <c r="A21" s="171" t="inlineStr">
        <is>
          <t>PED-260504-647</t>
        </is>
      </c>
      <c r="B21" s="172" t="inlineStr">
        <is>
          <t>2026-05-04</t>
        </is>
      </c>
      <c r="C21" s="171" t="inlineStr">
        <is>
          <t>Cocina Económica Lupita</t>
        </is>
      </c>
      <c r="D21" s="171" t="inlineStr">
        <is>
          <t>Fonda</t>
        </is>
      </c>
      <c r="E21" s="173" t="n">
        <v>4</v>
      </c>
      <c r="F21" s="174" t="n">
        <v>1620</v>
      </c>
      <c r="G21" s="175" t="n">
        <v>0</v>
      </c>
      <c r="H21" s="174" t="n">
        <v>1620</v>
      </c>
      <c r="I21" s="176" t="inlineStr">
        <is>
          <t>Contado · martes</t>
        </is>
      </c>
    </row>
    <row r="22">
      <c r="A22" s="171" t="inlineStr">
        <is>
          <t>PED-260503-758</t>
        </is>
      </c>
      <c r="B22" s="172" t="inlineStr">
        <is>
          <t>2026-05-03</t>
        </is>
      </c>
      <c r="C22" s="171" t="inlineStr">
        <is>
          <t>Taquería La Once</t>
        </is>
      </c>
      <c r="D22" s="171" t="inlineStr">
        <is>
          <t>Restaurante</t>
        </is>
      </c>
      <c r="E22" s="173" t="n">
        <v>7</v>
      </c>
      <c r="F22" s="174" t="n">
        <v>3320</v>
      </c>
      <c r="G22" s="175" t="n">
        <v>0</v>
      </c>
      <c r="H22" s="174" t="n">
        <v>3320</v>
      </c>
      <c r="I22" s="176" t="inlineStr">
        <is>
          <t>Contado</t>
        </is>
      </c>
    </row>
    <row r="23">
      <c r="A23" s="171" t="inlineStr">
        <is>
          <t>PED-260502-872</t>
        </is>
      </c>
      <c r="B23" s="172" t="inlineStr">
        <is>
          <t>2026-05-02</t>
        </is>
      </c>
      <c r="C23" s="171" t="inlineStr">
        <is>
          <t>Mercado Roma — Local 12</t>
        </is>
      </c>
      <c r="D23" s="171" t="inlineStr">
        <is>
          <t>Retail</t>
        </is>
      </c>
      <c r="E23" s="173" t="n">
        <v>6</v>
      </c>
      <c r="F23" s="174" t="n">
        <v>2380</v>
      </c>
      <c r="G23" s="175" t="n">
        <v>88</v>
      </c>
      <c r="H23" s="174" t="n">
        <v>2468</v>
      </c>
      <c r="I23" s="176" t="inlineStr">
        <is>
          <t>Contado</t>
        </is>
      </c>
    </row>
    <row r="24">
      <c r="A24" s="171" t="inlineStr">
        <is>
          <t>PED-260501-988</t>
        </is>
      </c>
      <c r="B24" s="172" t="inlineStr">
        <is>
          <t>2026-05-01</t>
        </is>
      </c>
      <c r="C24" s="171" t="inlineStr">
        <is>
          <t>Hotel Plaza Sur</t>
        </is>
      </c>
      <c r="D24" s="171" t="inlineStr">
        <is>
          <t>Hotel</t>
        </is>
      </c>
      <c r="E24" s="173" t="n">
        <v>11</v>
      </c>
      <c r="F24" s="174" t="n">
        <v>5240</v>
      </c>
      <c r="G24" s="175" t="n">
        <v>168</v>
      </c>
      <c r="H24" s="174" t="n">
        <v>5408</v>
      </c>
      <c r="I24" s="176" t="inlineStr">
        <is>
          <t>Crédito 15 d</t>
        </is>
      </c>
    </row>
    <row r="25">
      <c r="A25" s="61" t="inlineStr">
        <is>
          <t>TOTAL:</t>
        </is>
      </c>
      <c r="E25" s="177">
        <f>SUM(E5:E24)</f>
        <v/>
      </c>
      <c r="F25" s="178">
        <f>SUM(F5:F24)</f>
        <v/>
      </c>
      <c r="G25" s="178">
        <f>SUM(G5:G24)</f>
        <v/>
      </c>
      <c r="H25" s="178">
        <f>SUM(H5:H24)</f>
        <v/>
      </c>
    </row>
  </sheetData>
  <autoFilter ref="A4:I24"/>
  <mergeCells count="3">
    <mergeCell ref="A1:I1"/>
    <mergeCell ref="A25:D25"/>
    <mergeCell ref="A2:I2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H100"/>
  <sheetViews>
    <sheetView showGridLines="0"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6" customWidth="1" style="37" min="1" max="1"/>
    <col width="28" customWidth="1" style="37" min="2" max="2"/>
    <col width="13" customWidth="1" style="37" min="3" max="3"/>
    <col width="11" customWidth="1" style="37" min="4" max="4"/>
    <col width="15" customWidth="1" style="37" min="5" max="5"/>
    <col width="15" customWidth="1" style="37" min="6" max="6"/>
    <col width="15" customWidth="1" style="37" min="7" max="7"/>
    <col width="11" customWidth="1" style="37" min="8" max="8"/>
  </cols>
  <sheetData>
    <row r="1" ht="32" customHeight="1" s="37">
      <c r="A1" s="179" t="inlineStr">
        <is>
          <t>ANÁLISIS POR CLIENTE — qué compra cada uno, cuánto, qué le falta</t>
        </is>
      </c>
    </row>
    <row r="2" ht="22" customHeight="1" s="37">
      <c r="A2" s="74" t="inlineStr">
        <is>
          <t>Tabla pivote automática: por cada cliente se calcula su compra total, ticket promedio, categoría favorita y última compra desde el Histórico.</t>
        </is>
      </c>
    </row>
    <row r="4" ht="30" customHeight="1" s="37">
      <c r="A4" s="180" t="inlineStr">
        <is>
          <t>#</t>
        </is>
      </c>
      <c r="B4" s="180" t="inlineStr">
        <is>
          <t>Cliente</t>
        </is>
      </c>
      <c r="C4" s="180" t="inlineStr">
        <is>
          <t>Tipo</t>
        </is>
      </c>
      <c r="D4" s="180" t="inlineStr">
        <is>
          <t># Pedidos</t>
        </is>
      </c>
      <c r="E4" s="180" t="inlineStr">
        <is>
          <t>Total comprado</t>
        </is>
      </c>
      <c r="F4" s="180" t="inlineStr">
        <is>
          <t>Ticket promedio</t>
        </is>
      </c>
      <c r="G4" s="180" t="inlineStr">
        <is>
          <t>Última compra</t>
        </is>
      </c>
      <c r="H4" s="180" t="inlineStr">
        <is>
          <t>% del total</t>
        </is>
      </c>
    </row>
    <row r="5">
      <c r="A5" s="80" t="n">
        <v>1</v>
      </c>
      <c r="B5" s="53">
        <f>'Catálogo Clientes'!A5</f>
        <v/>
      </c>
      <c r="C5" s="53">
        <f>'Catálogo Clientes'!B5</f>
        <v/>
      </c>
      <c r="D5" s="181">
        <f>COUNTIF(Histórico!$C$5:$C$24, B5)</f>
        <v/>
      </c>
      <c r="E5" s="170">
        <f>SUMIF(Histórico!$C$5:$C$24, B5, Histórico!$H$5:$H$24)</f>
        <v/>
      </c>
      <c r="F5" s="170">
        <f>IFERROR(E5/D5,"-")</f>
        <v/>
      </c>
      <c r="G5" s="65">
        <f>IFERROR(TEXT(MAXIFS(Histórico!$B$5:$B$24, Histórico!$C$5:$C$24, B5), "dd-mmm-yyyy"), "—")</f>
        <v/>
      </c>
      <c r="H5" s="182">
        <f>IFERROR(E5/$F$100, 0)</f>
        <v/>
      </c>
    </row>
    <row r="6">
      <c r="A6" s="80" t="n">
        <v>2</v>
      </c>
      <c r="B6" s="53">
        <f>'Catálogo Clientes'!A6</f>
        <v/>
      </c>
      <c r="C6" s="53">
        <f>'Catálogo Clientes'!B6</f>
        <v/>
      </c>
      <c r="D6" s="181">
        <f>COUNTIF(Histórico!$C$5:$C$24, B6)</f>
        <v/>
      </c>
      <c r="E6" s="170">
        <f>SUMIF(Histórico!$C$5:$C$24, B6, Histórico!$H$5:$H$24)</f>
        <v/>
      </c>
      <c r="F6" s="170">
        <f>IFERROR(E6/D6,"-")</f>
        <v/>
      </c>
      <c r="G6" s="65">
        <f>IFERROR(TEXT(MAXIFS(Histórico!$B$5:$B$24, Histórico!$C$5:$C$24, B6), "dd-mmm-yyyy"), "—")</f>
        <v/>
      </c>
      <c r="H6" s="182">
        <f>IFERROR(E6/$F$100, 0)</f>
        <v/>
      </c>
    </row>
    <row r="7">
      <c r="A7" s="80" t="n">
        <v>3</v>
      </c>
      <c r="B7" s="53">
        <f>'Catálogo Clientes'!A7</f>
        <v/>
      </c>
      <c r="C7" s="53">
        <f>'Catálogo Clientes'!B7</f>
        <v/>
      </c>
      <c r="D7" s="181">
        <f>COUNTIF(Histórico!$C$5:$C$24, B7)</f>
        <v/>
      </c>
      <c r="E7" s="170">
        <f>SUMIF(Histórico!$C$5:$C$24, B7, Histórico!$H$5:$H$24)</f>
        <v/>
      </c>
      <c r="F7" s="170">
        <f>IFERROR(E7/D7,"-")</f>
        <v/>
      </c>
      <c r="G7" s="65">
        <f>IFERROR(TEXT(MAXIFS(Histórico!$B$5:$B$24, Histórico!$C$5:$C$24, B7), "dd-mmm-yyyy"), "—")</f>
        <v/>
      </c>
      <c r="H7" s="182">
        <f>IFERROR(E7/$F$100, 0)</f>
        <v/>
      </c>
    </row>
    <row r="8">
      <c r="A8" s="80" t="n">
        <v>4</v>
      </c>
      <c r="B8" s="53">
        <f>'Catálogo Clientes'!A8</f>
        <v/>
      </c>
      <c r="C8" s="53">
        <f>'Catálogo Clientes'!B8</f>
        <v/>
      </c>
      <c r="D8" s="181">
        <f>COUNTIF(Histórico!$C$5:$C$24, B8)</f>
        <v/>
      </c>
      <c r="E8" s="170">
        <f>SUMIF(Histórico!$C$5:$C$24, B8, Histórico!$H$5:$H$24)</f>
        <v/>
      </c>
      <c r="F8" s="170">
        <f>IFERROR(E8/D8,"-")</f>
        <v/>
      </c>
      <c r="G8" s="65">
        <f>IFERROR(TEXT(MAXIFS(Histórico!$B$5:$B$24, Histórico!$C$5:$C$24, B8), "dd-mmm-yyyy"), "—")</f>
        <v/>
      </c>
      <c r="H8" s="182">
        <f>IFERROR(E8/$F$100, 0)</f>
        <v/>
      </c>
    </row>
    <row r="9">
      <c r="A9" s="80" t="n">
        <v>5</v>
      </c>
      <c r="B9" s="53">
        <f>'Catálogo Clientes'!A9</f>
        <v/>
      </c>
      <c r="C9" s="53">
        <f>'Catálogo Clientes'!B9</f>
        <v/>
      </c>
      <c r="D9" s="181">
        <f>COUNTIF(Histórico!$C$5:$C$24, B9)</f>
        <v/>
      </c>
      <c r="E9" s="170">
        <f>SUMIF(Histórico!$C$5:$C$24, B9, Histórico!$H$5:$H$24)</f>
        <v/>
      </c>
      <c r="F9" s="170">
        <f>IFERROR(E9/D9,"-")</f>
        <v/>
      </c>
      <c r="G9" s="65">
        <f>IFERROR(TEXT(MAXIFS(Histórico!$B$5:$B$24, Histórico!$C$5:$C$24, B9), "dd-mmm-yyyy"), "—")</f>
        <v/>
      </c>
      <c r="H9" s="182">
        <f>IFERROR(E9/$F$100, 0)</f>
        <v/>
      </c>
    </row>
    <row r="10">
      <c r="A10" s="80" t="n">
        <v>6</v>
      </c>
      <c r="B10" s="53">
        <f>'Catálogo Clientes'!A10</f>
        <v/>
      </c>
      <c r="C10" s="53">
        <f>'Catálogo Clientes'!B10</f>
        <v/>
      </c>
      <c r="D10" s="181">
        <f>COUNTIF(Histórico!$C$5:$C$24, B10)</f>
        <v/>
      </c>
      <c r="E10" s="170">
        <f>SUMIF(Histórico!$C$5:$C$24, B10, Histórico!$H$5:$H$24)</f>
        <v/>
      </c>
      <c r="F10" s="170">
        <f>IFERROR(E10/D10,"-")</f>
        <v/>
      </c>
      <c r="G10" s="65">
        <f>IFERROR(TEXT(MAXIFS(Histórico!$B$5:$B$24, Histórico!$C$5:$C$24, B10), "dd-mmm-yyyy"), "—")</f>
        <v/>
      </c>
      <c r="H10" s="182">
        <f>IFERROR(E10/$F$100, 0)</f>
        <v/>
      </c>
    </row>
    <row r="11">
      <c r="A11" s="80" t="n">
        <v>7</v>
      </c>
      <c r="B11" s="53">
        <f>'Catálogo Clientes'!A11</f>
        <v/>
      </c>
      <c r="C11" s="53">
        <f>'Catálogo Clientes'!B11</f>
        <v/>
      </c>
      <c r="D11" s="181">
        <f>COUNTIF(Histórico!$C$5:$C$24, B11)</f>
        <v/>
      </c>
      <c r="E11" s="170">
        <f>SUMIF(Histórico!$C$5:$C$24, B11, Histórico!$H$5:$H$24)</f>
        <v/>
      </c>
      <c r="F11" s="170">
        <f>IFERROR(E11/D11,"-")</f>
        <v/>
      </c>
      <c r="G11" s="65">
        <f>IFERROR(TEXT(MAXIFS(Histórico!$B$5:$B$24, Histórico!$C$5:$C$24, B11), "dd-mmm-yyyy"), "—")</f>
        <v/>
      </c>
      <c r="H11" s="182">
        <f>IFERROR(E11/$F$100, 0)</f>
        <v/>
      </c>
    </row>
    <row r="12">
      <c r="A12" s="80" t="n">
        <v>8</v>
      </c>
      <c r="B12" s="53">
        <f>'Catálogo Clientes'!A12</f>
        <v/>
      </c>
      <c r="C12" s="53">
        <f>'Catálogo Clientes'!B12</f>
        <v/>
      </c>
      <c r="D12" s="181">
        <f>COUNTIF(Histórico!$C$5:$C$24, B12)</f>
        <v/>
      </c>
      <c r="E12" s="170">
        <f>SUMIF(Histórico!$C$5:$C$24, B12, Histórico!$H$5:$H$24)</f>
        <v/>
      </c>
      <c r="F12" s="170">
        <f>IFERROR(E12/D12,"-")</f>
        <v/>
      </c>
      <c r="G12" s="65">
        <f>IFERROR(TEXT(MAXIFS(Histórico!$B$5:$B$24, Histórico!$C$5:$C$24, B12), "dd-mmm-yyyy"), "—")</f>
        <v/>
      </c>
      <c r="H12" s="182">
        <f>IFERROR(E12/$F$100, 0)</f>
        <v/>
      </c>
    </row>
    <row r="13">
      <c r="A13" s="80" t="n">
        <v>9</v>
      </c>
      <c r="B13" s="53">
        <f>'Catálogo Clientes'!A13</f>
        <v/>
      </c>
      <c r="C13" s="53">
        <f>'Catálogo Clientes'!B13</f>
        <v/>
      </c>
      <c r="D13" s="181">
        <f>COUNTIF(Histórico!$C$5:$C$24, B13)</f>
        <v/>
      </c>
      <c r="E13" s="170">
        <f>SUMIF(Histórico!$C$5:$C$24, B13, Histórico!$H$5:$H$24)</f>
        <v/>
      </c>
      <c r="F13" s="170">
        <f>IFERROR(E13/D13,"-")</f>
        <v/>
      </c>
      <c r="G13" s="65">
        <f>IFERROR(TEXT(MAXIFS(Histórico!$B$5:$B$24, Histórico!$C$5:$C$24, B13), "dd-mmm-yyyy"), "—")</f>
        <v/>
      </c>
      <c r="H13" s="182">
        <f>IFERROR(E13/$F$100, 0)</f>
        <v/>
      </c>
    </row>
    <row r="14">
      <c r="A14" s="80" t="n">
        <v>10</v>
      </c>
      <c r="B14" s="53">
        <f>'Catálogo Clientes'!A14</f>
        <v/>
      </c>
      <c r="C14" s="53">
        <f>'Catálogo Clientes'!B14</f>
        <v/>
      </c>
      <c r="D14" s="181">
        <f>COUNTIF(Histórico!$C$5:$C$24, B14)</f>
        <v/>
      </c>
      <c r="E14" s="170">
        <f>SUMIF(Histórico!$C$5:$C$24, B14, Histórico!$H$5:$H$24)</f>
        <v/>
      </c>
      <c r="F14" s="170">
        <f>IFERROR(E14/D14,"-")</f>
        <v/>
      </c>
      <c r="G14" s="65">
        <f>IFERROR(TEXT(MAXIFS(Histórico!$B$5:$B$24, Histórico!$C$5:$C$24, B14), "dd-mmm-yyyy"), "—")</f>
        <v/>
      </c>
      <c r="H14" s="182">
        <f>IFERROR(E14/$F$100, 0)</f>
        <v/>
      </c>
    </row>
    <row r="15">
      <c r="A15" s="80" t="n">
        <v>11</v>
      </c>
      <c r="B15" s="53">
        <f>'Catálogo Clientes'!A15</f>
        <v/>
      </c>
      <c r="C15" s="53">
        <f>'Catálogo Clientes'!B15</f>
        <v/>
      </c>
      <c r="D15" s="181">
        <f>COUNTIF(Histórico!$C$5:$C$24, B15)</f>
        <v/>
      </c>
      <c r="E15" s="170">
        <f>SUMIF(Histórico!$C$5:$C$24, B15, Histórico!$H$5:$H$24)</f>
        <v/>
      </c>
      <c r="F15" s="170">
        <f>IFERROR(E15/D15,"-")</f>
        <v/>
      </c>
      <c r="G15" s="65">
        <f>IFERROR(TEXT(MAXIFS(Histórico!$B$5:$B$24, Histórico!$C$5:$C$24, B15), "dd-mmm-yyyy"), "—")</f>
        <v/>
      </c>
      <c r="H15" s="182">
        <f>IFERROR(E15/$F$100, 0)</f>
        <v/>
      </c>
    </row>
    <row r="16">
      <c r="A16" s="183" t="inlineStr">
        <is>
          <t>TOTAL</t>
        </is>
      </c>
      <c r="D16" s="184">
        <f>SUM(D5:D15)</f>
        <v/>
      </c>
      <c r="E16" s="185">
        <f>SUM(E5:E15)</f>
        <v/>
      </c>
      <c r="F16" s="185">
        <f>IFERROR(E16/D16,"-")</f>
        <v/>
      </c>
      <c r="G16" s="186" t="inlineStr"/>
      <c r="H16" s="187" t="n">
        <v>1</v>
      </c>
    </row>
    <row r="19" ht="26" customHeight="1" s="37">
      <c r="A19" s="188" t="inlineStr">
        <is>
          <t>PRODUCTOS POR CLIENTE — qué le compra cada uno desde la hoja Clientes</t>
        </is>
      </c>
    </row>
    <row r="20" ht="30" customHeight="1" s="37">
      <c r="A20" s="180" t="inlineStr">
        <is>
          <t>Cliente</t>
        </is>
      </c>
      <c r="B20" s="180" t="inlineStr">
        <is>
          <t># SKUs distintos</t>
        </is>
      </c>
      <c r="C20" s="167" t="n"/>
      <c r="D20" s="180" t="inlineStr">
        <is>
          <t>Unidades totales</t>
        </is>
      </c>
      <c r="E20" s="167" t="n"/>
      <c r="F20" s="180" t="inlineStr">
        <is>
          <t>Ingreso total</t>
        </is>
      </c>
      <c r="G20" s="167" t="n"/>
      <c r="H20" s="180" t="inlineStr">
        <is>
          <t>Ticket promedio (unidades)</t>
        </is>
      </c>
    </row>
    <row r="21">
      <c r="A21" s="53" t="inlineStr">
        <is>
          <t>Cafetería Central</t>
        </is>
      </c>
      <c r="B21" s="67">
        <f>COUNTIF(Clientes!$A$5:$A$172, A21)</f>
        <v/>
      </c>
      <c r="D21" s="67">
        <f>SUMIF(Clientes!$A$5:$A$172, A21, Clientes!$F$5:$F$172)</f>
        <v/>
      </c>
      <c r="F21" s="155">
        <f>SUMIF(Clientes!$A$5:$A$172, A21, Clientes!$G$5:$G$172)</f>
        <v/>
      </c>
      <c r="H21" s="189">
        <f>IFERROR(D21/B21,"-")</f>
        <v/>
      </c>
    </row>
    <row r="22">
      <c r="A22" s="53" t="inlineStr">
        <is>
          <t>Cocina Económica Lupita</t>
        </is>
      </c>
      <c r="B22" s="67">
        <f>COUNTIF(Clientes!$A$5:$A$172, A22)</f>
        <v/>
      </c>
      <c r="D22" s="67">
        <f>SUMIF(Clientes!$A$5:$A$172, A22, Clientes!$F$5:$F$172)</f>
        <v/>
      </c>
      <c r="F22" s="155">
        <f>SUMIF(Clientes!$A$5:$A$172, A22, Clientes!$G$5:$G$172)</f>
        <v/>
      </c>
      <c r="H22" s="189">
        <f>IFERROR(D22/B22,"-")</f>
        <v/>
      </c>
    </row>
    <row r="23">
      <c r="A23" s="53" t="inlineStr">
        <is>
          <t>Taquería La Once</t>
        </is>
      </c>
      <c r="B23" s="67">
        <f>COUNTIF(Clientes!$A$5:$A$172, A23)</f>
        <v/>
      </c>
      <c r="D23" s="67">
        <f>SUMIF(Clientes!$A$5:$A$172, A23, Clientes!$F$5:$F$172)</f>
        <v/>
      </c>
      <c r="F23" s="155">
        <f>SUMIF(Clientes!$A$5:$A$172, A23, Clientes!$G$5:$G$172)</f>
        <v/>
      </c>
      <c r="H23" s="189">
        <f>IFERROR(D23/B23,"-")</f>
        <v/>
      </c>
    </row>
    <row r="24">
      <c r="A24" s="53" t="inlineStr">
        <is>
          <t>Hotel Plaza Sur</t>
        </is>
      </c>
      <c r="B24" s="67">
        <f>COUNTIF(Clientes!$A$5:$A$172, A24)</f>
        <v/>
      </c>
      <c r="D24" s="67">
        <f>SUMIF(Clientes!$A$5:$A$172, A24, Clientes!$F$5:$F$172)</f>
        <v/>
      </c>
      <c r="F24" s="155">
        <f>SUMIF(Clientes!$A$5:$A$172, A24, Clientes!$G$5:$G$172)</f>
        <v/>
      </c>
      <c r="H24" s="189">
        <f>IFERROR(D24/B24,"-")</f>
        <v/>
      </c>
    </row>
    <row r="25">
      <c r="A25" s="53" t="inlineStr">
        <is>
          <t>Restaurante El Fogón</t>
        </is>
      </c>
      <c r="B25" s="67">
        <f>COUNTIF(Clientes!$A$5:$A$172, A25)</f>
        <v/>
      </c>
      <c r="D25" s="67">
        <f>SUMIF(Clientes!$A$5:$A$172, A25, Clientes!$F$5:$F$172)</f>
        <v/>
      </c>
      <c r="F25" s="155">
        <f>SUMIF(Clientes!$A$5:$A$172, A25, Clientes!$G$5:$G$172)</f>
        <v/>
      </c>
      <c r="H25" s="189">
        <f>IFERROR(D25/B25,"-")</f>
        <v/>
      </c>
    </row>
    <row r="26">
      <c r="A26" s="53" t="inlineStr">
        <is>
          <t>Hotel Mibani</t>
        </is>
      </c>
      <c r="B26" s="67">
        <f>COUNTIF(Clientes!$A$5:$A$172, A26)</f>
        <v/>
      </c>
      <c r="D26" s="67">
        <f>SUMIF(Clientes!$A$5:$A$172, A26, Clientes!$F$5:$F$172)</f>
        <v/>
      </c>
      <c r="F26" s="155">
        <f>SUMIF(Clientes!$A$5:$A$172, A26, Clientes!$G$5:$G$172)</f>
        <v/>
      </c>
      <c r="H26" s="189">
        <f>IFERROR(D26/B26,"-")</f>
        <v/>
      </c>
    </row>
    <row r="27">
      <c r="A27" s="53" t="inlineStr">
        <is>
          <t>Abarrotes Don Beto</t>
        </is>
      </c>
      <c r="B27" s="67">
        <f>COUNTIF(Clientes!$A$5:$A$172, A27)</f>
        <v/>
      </c>
      <c r="D27" s="67">
        <f>SUMIF(Clientes!$A$5:$A$172, A27, Clientes!$F$5:$F$172)</f>
        <v/>
      </c>
      <c r="F27" s="155">
        <f>SUMIF(Clientes!$A$5:$A$172, A27, Clientes!$G$5:$G$172)</f>
        <v/>
      </c>
      <c r="H27" s="189">
        <f>IFERROR(D27/B27,"-")</f>
        <v/>
      </c>
    </row>
    <row r="28">
      <c r="A28" s="53" t="inlineStr">
        <is>
          <t>Marisquería El Puerto</t>
        </is>
      </c>
      <c r="B28" s="67">
        <f>COUNTIF(Clientes!$A$5:$A$172, A28)</f>
        <v/>
      </c>
      <c r="D28" s="67">
        <f>SUMIF(Clientes!$A$5:$A$172, A28, Clientes!$F$5:$F$172)</f>
        <v/>
      </c>
      <c r="F28" s="155">
        <f>SUMIF(Clientes!$A$5:$A$172, A28, Clientes!$G$5:$G$172)</f>
        <v/>
      </c>
      <c r="H28" s="189">
        <f>IFERROR(D28/B28,"-")</f>
        <v/>
      </c>
    </row>
    <row r="100" hidden="1" s="37">
      <c r="F100">
        <f>SUM(Histórico!$H$5:$H$24)</f>
        <v/>
      </c>
    </row>
  </sheetData>
  <mergeCells count="31">
    <mergeCell ref="D20:E20"/>
    <mergeCell ref="B25:C25"/>
    <mergeCell ref="F25:G25"/>
    <mergeCell ref="B22:C22"/>
    <mergeCell ref="D22:E22"/>
    <mergeCell ref="A1:H1"/>
    <mergeCell ref="B27:C27"/>
    <mergeCell ref="D21:E21"/>
    <mergeCell ref="F21:G21"/>
    <mergeCell ref="B21:C21"/>
    <mergeCell ref="F24:G24"/>
    <mergeCell ref="D27:E27"/>
    <mergeCell ref="F20:G20"/>
    <mergeCell ref="B23:C23"/>
    <mergeCell ref="F26:G26"/>
    <mergeCell ref="A2:H2"/>
    <mergeCell ref="F23:G23"/>
    <mergeCell ref="B28:C28"/>
    <mergeCell ref="D28:E28"/>
    <mergeCell ref="F22:G22"/>
    <mergeCell ref="F28:G28"/>
    <mergeCell ref="F27:G27"/>
    <mergeCell ref="D25:E25"/>
    <mergeCell ref="B24:C24"/>
    <mergeCell ref="D24:E24"/>
    <mergeCell ref="B20:C20"/>
    <mergeCell ref="D23:E23"/>
    <mergeCell ref="A19:H19"/>
    <mergeCell ref="B26:C26"/>
    <mergeCell ref="D26:E26"/>
    <mergeCell ref="A16:C16"/>
  </mergeCells>
  <conditionalFormatting sqref="H5:H15">
    <cfRule type="expression" priority="1" dxfId="2">
      <formula>$H5&gt;=0.10</formula>
    </cfRule>
    <cfRule type="expression" priority="2" dxfId="1">
      <formula>$H5&gt;=0.05</formula>
    </cfRule>
  </conditionalFormatting>
  <pageMargins left="0.75" right="0.75" top="1" bottom="1" header="0.5" footer="0.5"/>
</worksheet>
</file>

<file path=xl/worksheets/sheet5.xml><?xml version="1.0" encoding="utf-8"?>
<worksheet xmlns="http://schemas.openxmlformats.org/spreadsheetml/2006/main">
  <sheetPr filterMode="0">
    <outlinePr summaryBelow="1" summaryRight="1"/>
    <pageSetUpPr fitToPage="0"/>
  </sheetPr>
  <dimension ref="A1:L51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pane ySplit="4" topLeftCell="A5" activePane="bottomLeft" state="frozen"/>
      <selection pane="bottomLeft" activeCell="A1" activeCellId="0" sqref="A1"/>
    </sheetView>
  </sheetViews>
  <sheetFormatPr baseColWidth="8" defaultColWidth="8.6796875" defaultRowHeight="15" customHeight="0" zeroHeight="0" outlineLevelRow="0"/>
  <cols>
    <col width="11" customWidth="1" style="36" min="1" max="1"/>
    <col width="34" customWidth="1" style="36" min="2" max="2"/>
    <col width="13" customWidth="1" style="36" min="3" max="3"/>
    <col width="34" customWidth="1" style="36" min="4" max="4"/>
    <col width="11" customWidth="1" style="36" min="5" max="6"/>
    <col width="11" customWidth="1" style="37" min="6" max="6"/>
    <col width="11" customWidth="1" style="36" min="7" max="7"/>
    <col width="10" customWidth="1" style="36" min="8" max="8"/>
    <col width="8" customWidth="1" style="36" min="9" max="9"/>
    <col width="10" customWidth="1" style="36" min="10" max="10"/>
    <col width="11" customWidth="1" style="36" min="11" max="11"/>
    <col width="13" customWidth="1" style="36" min="12" max="12"/>
  </cols>
  <sheetData>
    <row r="1" ht="32" customHeight="1" s="37">
      <c r="A1" s="91" t="inlineStr">
        <is>
          <t>ERP Distribuidora La Aurora — Catálogo Maestro</t>
        </is>
      </c>
    </row>
    <row r="2" ht="22" customHeight="1" s="37">
      <c r="A2" s="74" t="inlineStr">
        <is>
          <t>Costo, precio y stock son datos de entrada (azul). Margen y estado se calculan (negro).</t>
        </is>
      </c>
    </row>
    <row r="3" ht="15" customHeight="1" s="37">
      <c r="I3" s="90" t="inlineStr">
        <is>
          <t>IVA 0%: productos destinados a la alimentación humana — Art. 2o.-A, fracc. I, inciso b), Ley del IVA</t>
        </is>
      </c>
    </row>
    <row r="4" ht="32" customHeight="1" s="37">
      <c r="A4" s="52" t="inlineStr">
        <is>
          <t>SKU</t>
        </is>
      </c>
      <c r="B4" s="52" t="inlineStr">
        <is>
          <t>Producto</t>
        </is>
      </c>
      <c r="C4" s="52" t="inlineStr">
        <is>
          <t>Categoría</t>
        </is>
      </c>
      <c r="D4" s="52" t="inlineStr">
        <is>
          <t>Razón Social (Persona Moral)</t>
        </is>
      </c>
      <c r="E4" s="52" t="inlineStr">
        <is>
          <t>Costo Unit.</t>
        </is>
      </c>
      <c r="F4" s="52" t="inlineStr">
        <is>
          <t>Precio Unit.</t>
        </is>
      </c>
      <c r="G4" s="52" t="inlineStr">
        <is>
          <t>Margen $</t>
        </is>
      </c>
      <c r="H4" s="52" t="inlineStr">
        <is>
          <t>Margen %</t>
        </is>
      </c>
      <c r="I4" s="52" t="inlineStr">
        <is>
          <t>IVA %</t>
        </is>
      </c>
      <c r="J4" s="52" t="inlineStr">
        <is>
          <t>Stock Actual</t>
        </is>
      </c>
      <c r="K4" s="52" t="inlineStr">
        <is>
          <t>Stock Objetivo</t>
        </is>
      </c>
      <c r="L4" s="52" t="inlineStr">
        <is>
          <t>Estado</t>
        </is>
      </c>
    </row>
    <row r="5" ht="15" customHeight="1" s="37">
      <c r="A5" s="97" t="inlineStr">
        <is>
          <t>LAC-001</t>
        </is>
      </c>
      <c r="B5" s="97" t="inlineStr">
        <is>
          <t>Queso panela 1 kg</t>
        </is>
      </c>
      <c r="C5" s="97" t="inlineStr">
        <is>
          <t>Lácteos</t>
        </is>
      </c>
      <c r="D5" s="97" t="inlineStr">
        <is>
          <t>Lácteos La Aurora, S.A. de C.V.</t>
        </is>
      </c>
      <c r="E5" s="190" t="n">
        <v>35.98</v>
      </c>
      <c r="F5" s="190" t="n">
        <v>43.91</v>
      </c>
      <c r="G5" s="191">
        <f>F5-E5</f>
        <v/>
      </c>
      <c r="H5" s="192">
        <f>IF(F5=0,0,G5/F5)</f>
        <v/>
      </c>
      <c r="I5" s="101" t="n">
        <v>0</v>
      </c>
      <c r="J5" s="193" t="n">
        <v>15</v>
      </c>
      <c r="K5" s="193" t="n">
        <v>60</v>
      </c>
      <c r="L5" s="103">
        <f>IF(J5=0,"Agotado",IF(J5&lt;K5*0.4,"Stock bajo","OK"))</f>
        <v/>
      </c>
    </row>
    <row r="6" ht="15" customHeight="1" s="37">
      <c r="A6" s="97" t="inlineStr">
        <is>
          <t>LAC-002</t>
        </is>
      </c>
      <c r="B6" s="97" t="inlineStr">
        <is>
          <t>Queso Oaxaca 1 kg</t>
        </is>
      </c>
      <c r="C6" s="97" t="inlineStr">
        <is>
          <t>Lácteos</t>
        </is>
      </c>
      <c r="D6" s="97" t="inlineStr">
        <is>
          <t>Lácteos La Aurora, S.A. de C.V.</t>
        </is>
      </c>
      <c r="E6" s="190" t="n">
        <v>87.95</v>
      </c>
      <c r="F6" s="190" t="n">
        <v>109.01</v>
      </c>
      <c r="G6" s="191">
        <f>F6-E6</f>
        <v/>
      </c>
      <c r="H6" s="192">
        <f>IF(F6=0,0,G6/F6)</f>
        <v/>
      </c>
      <c r="I6" s="101" t="n">
        <v>0</v>
      </c>
      <c r="J6" s="193" t="n">
        <v>102</v>
      </c>
      <c r="K6" s="193" t="n">
        <v>50</v>
      </c>
      <c r="L6" s="103">
        <f>IF(J6=0,"Agotado",IF(J6&lt;K6*0.4,"Stock bajo","OK"))</f>
        <v/>
      </c>
    </row>
    <row r="7" ht="15" customHeight="1" s="37">
      <c r="A7" s="97" t="inlineStr">
        <is>
          <t>LAC-003</t>
        </is>
      </c>
      <c r="B7" s="97" t="inlineStr">
        <is>
          <t>Queso manchego 1 kg</t>
        </is>
      </c>
      <c r="C7" s="97" t="inlineStr">
        <is>
          <t>Lácteos</t>
        </is>
      </c>
      <c r="D7" s="97" t="inlineStr">
        <is>
          <t>Lácteos La Aurora, S.A. de C.V.</t>
        </is>
      </c>
      <c r="E7" s="190" t="n">
        <v>78.31999999999999</v>
      </c>
      <c r="F7" s="190" t="n">
        <v>96.63</v>
      </c>
      <c r="G7" s="191">
        <f>F7-E7</f>
        <v/>
      </c>
      <c r="H7" s="192">
        <f>IF(F7=0,0,G7/F7)</f>
        <v/>
      </c>
      <c r="I7" s="101" t="n">
        <v>0</v>
      </c>
      <c r="J7" s="193" t="n">
        <v>0</v>
      </c>
      <c r="K7" s="193" t="n">
        <v>30</v>
      </c>
      <c r="L7" s="103">
        <f>IF(J7=0,"Agotado",IF(J7&lt;K7*0.4,"Stock bajo","OK"))</f>
        <v/>
      </c>
    </row>
    <row r="8" ht="15" customHeight="1" s="37">
      <c r="A8" s="97" t="inlineStr">
        <is>
          <t>LAC-004</t>
        </is>
      </c>
      <c r="B8" s="97" t="inlineStr">
        <is>
          <t>Queso fresco 1 kg</t>
        </is>
      </c>
      <c r="C8" s="97" t="inlineStr">
        <is>
          <t>Lácteos</t>
        </is>
      </c>
      <c r="D8" s="97" t="inlineStr">
        <is>
          <t>Lácteos La Aurora, S.A. de C.V.</t>
        </is>
      </c>
      <c r="E8" s="190" t="n">
        <v>35.42</v>
      </c>
      <c r="F8" s="190" t="n">
        <v>45.01</v>
      </c>
      <c r="G8" s="191">
        <f>F8-E8</f>
        <v/>
      </c>
      <c r="H8" s="192">
        <f>IF(F8=0,0,G8/F8)</f>
        <v/>
      </c>
      <c r="I8" s="101" t="n">
        <v>0</v>
      </c>
      <c r="J8" s="193" t="n">
        <v>90</v>
      </c>
      <c r="K8" s="193" t="n">
        <v>50</v>
      </c>
      <c r="L8" s="103">
        <f>IF(J8=0,"Agotado",IF(J8&lt;K8*0.4,"Stock bajo","OK"))</f>
        <v/>
      </c>
    </row>
    <row r="9" ht="15" customHeight="1" s="37">
      <c r="A9" s="97" t="inlineStr">
        <is>
          <t>LAC-005</t>
        </is>
      </c>
      <c r="B9" s="97" t="inlineStr">
        <is>
          <t>Crema ácida 900 ml</t>
        </is>
      </c>
      <c r="C9" s="97" t="inlineStr">
        <is>
          <t>Lácteos</t>
        </is>
      </c>
      <c r="D9" s="97" t="inlineStr">
        <is>
          <t>Lácteos La Aurora, S.A. de C.V.</t>
        </is>
      </c>
      <c r="E9" s="190" t="n">
        <v>73.52</v>
      </c>
      <c r="F9" s="190" t="n">
        <v>86.29000000000001</v>
      </c>
      <c r="G9" s="191">
        <f>F9-E9</f>
        <v/>
      </c>
      <c r="H9" s="192">
        <f>IF(F9=0,0,G9/F9)</f>
        <v/>
      </c>
      <c r="I9" s="101" t="n">
        <v>0</v>
      </c>
      <c r="J9" s="193" t="n">
        <v>51</v>
      </c>
      <c r="K9" s="193" t="n">
        <v>40</v>
      </c>
      <c r="L9" s="103">
        <f>IF(J9=0,"Agotado",IF(J9&lt;K9*0.4,"Stock bajo","OK"))</f>
        <v/>
      </c>
    </row>
    <row r="10" ht="15" customHeight="1" s="37">
      <c r="A10" s="97" t="inlineStr">
        <is>
          <t>LAC-006</t>
        </is>
      </c>
      <c r="B10" s="97" t="inlineStr">
        <is>
          <t>Crema entera 1 L</t>
        </is>
      </c>
      <c r="C10" s="97" t="inlineStr">
        <is>
          <t>Lácteos</t>
        </is>
      </c>
      <c r="D10" s="97" t="inlineStr">
        <is>
          <t>Lácteos La Aurora, S.A. de C.V.</t>
        </is>
      </c>
      <c r="E10" s="190" t="n">
        <v>81.94</v>
      </c>
      <c r="F10" s="190" t="n">
        <v>106.52</v>
      </c>
      <c r="G10" s="191">
        <f>F10-E10</f>
        <v/>
      </c>
      <c r="H10" s="192">
        <f>IF(F10=0,0,G10/F10)</f>
        <v/>
      </c>
      <c r="I10" s="101" t="n">
        <v>0</v>
      </c>
      <c r="J10" s="193" t="n">
        <v>45</v>
      </c>
      <c r="K10" s="193" t="n">
        <v>60</v>
      </c>
      <c r="L10" s="103">
        <f>IF(J10=0,"Agotado",IF(J10&lt;K10*0.4,"Stock bajo","OK"))</f>
        <v/>
      </c>
    </row>
    <row r="11" ht="15" customHeight="1" s="37">
      <c r="A11" s="97" t="inlineStr">
        <is>
          <t>LAC-007</t>
        </is>
      </c>
      <c r="B11" s="97" t="inlineStr">
        <is>
          <t>Yogurt natural 1 L</t>
        </is>
      </c>
      <c r="C11" s="97" t="inlineStr">
        <is>
          <t>Lácteos</t>
        </is>
      </c>
      <c r="D11" s="97" t="inlineStr">
        <is>
          <t>Lácteos La Aurora, S.A. de C.V.</t>
        </is>
      </c>
      <c r="E11" s="190" t="n">
        <v>34.01</v>
      </c>
      <c r="F11" s="190" t="n">
        <v>41.7</v>
      </c>
      <c r="G11" s="191">
        <f>F11-E11</f>
        <v/>
      </c>
      <c r="H11" s="192">
        <f>IF(F11=0,0,G11/F11)</f>
        <v/>
      </c>
      <c r="I11" s="101" t="n">
        <v>0</v>
      </c>
      <c r="J11" s="193" t="n">
        <v>8</v>
      </c>
      <c r="K11" s="193" t="n">
        <v>40</v>
      </c>
      <c r="L11" s="103">
        <f>IF(J11=0,"Agotado",IF(J11&lt;K11*0.4,"Stock bajo","OK"))</f>
        <v/>
      </c>
    </row>
    <row r="12" ht="15" customHeight="1" s="37">
      <c r="A12" s="97" t="inlineStr">
        <is>
          <t>LAC-008</t>
        </is>
      </c>
      <c r="B12" s="97" t="inlineStr">
        <is>
          <t>Yogurt griego 1 kg</t>
        </is>
      </c>
      <c r="C12" s="97" t="inlineStr">
        <is>
          <t>Lácteos</t>
        </is>
      </c>
      <c r="D12" s="97" t="inlineStr">
        <is>
          <t>Lácteos La Aurora, S.A. de C.V.</t>
        </is>
      </c>
      <c r="E12" s="190" t="n">
        <v>86.72</v>
      </c>
      <c r="F12" s="190" t="n">
        <v>108.63</v>
      </c>
      <c r="G12" s="191">
        <f>F12-E12</f>
        <v/>
      </c>
      <c r="H12" s="192">
        <f>IF(F12=0,0,G12/F12)</f>
        <v/>
      </c>
      <c r="I12" s="101" t="n">
        <v>0</v>
      </c>
      <c r="J12" s="193" t="n">
        <v>6</v>
      </c>
      <c r="K12" s="193" t="n">
        <v>60</v>
      </c>
      <c r="L12" s="103">
        <f>IF(J12=0,"Agotado",IF(J12&lt;K12*0.4,"Stock bajo","OK"))</f>
        <v/>
      </c>
    </row>
    <row r="13" ht="15" customHeight="1" s="37">
      <c r="A13" s="97" t="inlineStr">
        <is>
          <t>LAC-009</t>
        </is>
      </c>
      <c r="B13" s="97" t="inlineStr">
        <is>
          <t>Mantequilla 90 g</t>
        </is>
      </c>
      <c r="C13" s="97" t="inlineStr">
        <is>
          <t>Lácteos</t>
        </is>
      </c>
      <c r="D13" s="97" t="inlineStr">
        <is>
          <t>Lácteos La Aurora, S.A. de C.V.</t>
        </is>
      </c>
      <c r="E13" s="190" t="n">
        <v>84.8</v>
      </c>
      <c r="F13" s="190" t="n">
        <v>101.68</v>
      </c>
      <c r="G13" s="191">
        <f>F13-E13</f>
        <v/>
      </c>
      <c r="H13" s="192">
        <f>IF(F13=0,0,G13/F13)</f>
        <v/>
      </c>
      <c r="I13" s="101" t="n">
        <v>0</v>
      </c>
      <c r="J13" s="193" t="n">
        <v>8</v>
      </c>
      <c r="K13" s="193" t="n">
        <v>50</v>
      </c>
      <c r="L13" s="103">
        <f>IF(J13=0,"Agotado",IF(J13&lt;K13*0.4,"Stock bajo","OK"))</f>
        <v/>
      </c>
    </row>
    <row r="14" ht="15" customHeight="1" s="37">
      <c r="A14" s="97" t="inlineStr">
        <is>
          <t>LAC-010</t>
        </is>
      </c>
      <c r="B14" s="97" t="inlineStr">
        <is>
          <t>Leche entera 1 L</t>
        </is>
      </c>
      <c r="C14" s="97" t="inlineStr">
        <is>
          <t>Lácteos</t>
        </is>
      </c>
      <c r="D14" s="97" t="inlineStr">
        <is>
          <t>Lácteos La Aurora, S.A. de C.V.</t>
        </is>
      </c>
      <c r="E14" s="190" t="n">
        <v>54.72</v>
      </c>
      <c r="F14" s="190" t="n">
        <v>67.51000000000001</v>
      </c>
      <c r="G14" s="191">
        <f>F14-E14</f>
        <v/>
      </c>
      <c r="H14" s="192">
        <f>IF(F14=0,0,G14/F14)</f>
        <v/>
      </c>
      <c r="I14" s="101" t="n">
        <v>0</v>
      </c>
      <c r="J14" s="193" t="n">
        <v>60</v>
      </c>
      <c r="K14" s="193" t="n">
        <v>50</v>
      </c>
      <c r="L14" s="103">
        <f>IF(J14=0,"Agotado",IF(J14&lt;K14*0.4,"Stock bajo","OK"))</f>
        <v/>
      </c>
    </row>
    <row r="15" ht="15" customHeight="1" s="37">
      <c r="A15" s="97" t="inlineStr">
        <is>
          <t>LAC-011</t>
        </is>
      </c>
      <c r="B15" s="97" t="inlineStr">
        <is>
          <t>Leche deslactosada 1 L</t>
        </is>
      </c>
      <c r="C15" s="97" t="inlineStr">
        <is>
          <t>Lácteos</t>
        </is>
      </c>
      <c r="D15" s="97" t="inlineStr">
        <is>
          <t>Lácteos La Aurora, S.A. de C.V.</t>
        </is>
      </c>
      <c r="E15" s="190" t="n">
        <v>61.93</v>
      </c>
      <c r="F15" s="190" t="n">
        <v>78.03</v>
      </c>
      <c r="G15" s="191">
        <f>F15-E15</f>
        <v/>
      </c>
      <c r="H15" s="192">
        <f>IF(F15=0,0,G15/F15)</f>
        <v/>
      </c>
      <c r="I15" s="101" t="n">
        <v>0</v>
      </c>
      <c r="J15" s="193" t="n">
        <v>68</v>
      </c>
      <c r="K15" s="193" t="n">
        <v>60</v>
      </c>
      <c r="L15" s="103">
        <f>IF(J15=0,"Agotado",IF(J15&lt;K15*0.4,"Stock bajo","OK"))</f>
        <v/>
      </c>
    </row>
    <row r="16" ht="15" customHeight="1" s="37">
      <c r="A16" s="97" t="inlineStr">
        <is>
          <t>LAC-012</t>
        </is>
      </c>
      <c r="B16" s="97" t="inlineStr">
        <is>
          <t>Requesón 1 kg</t>
        </is>
      </c>
      <c r="C16" s="97" t="inlineStr">
        <is>
          <t>Lácteos</t>
        </is>
      </c>
      <c r="D16" s="97" t="inlineStr">
        <is>
          <t>Lácteos La Aurora, S.A. de C.V.</t>
        </is>
      </c>
      <c r="E16" s="190" t="n">
        <v>89.42</v>
      </c>
      <c r="F16" s="190" t="n">
        <v>105.64</v>
      </c>
      <c r="G16" s="191">
        <f>F16-E16</f>
        <v/>
      </c>
      <c r="H16" s="192">
        <f>IF(F16=0,0,G16/F16)</f>
        <v/>
      </c>
      <c r="I16" s="101" t="n">
        <v>0</v>
      </c>
      <c r="J16" s="193" t="n">
        <v>102</v>
      </c>
      <c r="K16" s="193" t="n">
        <v>50</v>
      </c>
      <c r="L16" s="103">
        <f>IF(J16=0,"Agotado",IF(J16&lt;K16*0.4,"Stock bajo","OK"))</f>
        <v/>
      </c>
    </row>
    <row r="17" ht="15" customHeight="1" s="37">
      <c r="A17" s="97" t="inlineStr">
        <is>
          <t>LAC-013</t>
        </is>
      </c>
      <c r="B17" s="97" t="inlineStr">
        <is>
          <t>Queso cotija 1 kg</t>
        </is>
      </c>
      <c r="C17" s="97" t="inlineStr">
        <is>
          <t>Lácteos</t>
        </is>
      </c>
      <c r="D17" s="97" t="inlineStr">
        <is>
          <t>Lácteos La Aurora, S.A. de C.V.</t>
        </is>
      </c>
      <c r="E17" s="190" t="n">
        <v>62.37</v>
      </c>
      <c r="F17" s="190" t="n">
        <v>79.14</v>
      </c>
      <c r="G17" s="191">
        <f>F17-E17</f>
        <v/>
      </c>
      <c r="H17" s="192">
        <f>IF(F17=0,0,G17/F17)</f>
        <v/>
      </c>
      <c r="I17" s="101" t="n">
        <v>0</v>
      </c>
      <c r="J17" s="193" t="n">
        <v>3</v>
      </c>
      <c r="K17" s="193" t="n">
        <v>60</v>
      </c>
      <c r="L17" s="103">
        <f>IF(J17=0,"Agotado",IF(J17&lt;K17*0.4,"Stock bajo","OK"))</f>
        <v/>
      </c>
    </row>
    <row r="18" ht="15" customHeight="1" s="37">
      <c r="A18" s="97" t="inlineStr">
        <is>
          <t>LAC-014</t>
        </is>
      </c>
      <c r="B18" s="97" t="inlineStr">
        <is>
          <t>Queso de hebra 1 kg</t>
        </is>
      </c>
      <c r="C18" s="97" t="inlineStr">
        <is>
          <t>Lácteos</t>
        </is>
      </c>
      <c r="D18" s="97" t="inlineStr">
        <is>
          <t>Lácteos La Aurora, S.A. de C.V.</t>
        </is>
      </c>
      <c r="E18" s="190" t="n">
        <v>82.81</v>
      </c>
      <c r="F18" s="190" t="n">
        <v>107.16</v>
      </c>
      <c r="G18" s="191">
        <f>F18-E18</f>
        <v/>
      </c>
      <c r="H18" s="192">
        <f>IF(F18=0,0,G18/F18)</f>
        <v/>
      </c>
      <c r="I18" s="101" t="n">
        <v>0</v>
      </c>
      <c r="J18" s="193" t="n">
        <v>60</v>
      </c>
      <c r="K18" s="193" t="n">
        <v>60</v>
      </c>
      <c r="L18" s="103">
        <f>IF(J18=0,"Agotado",IF(J18&lt;K18*0.4,"Stock bajo","OK"))</f>
        <v/>
      </c>
    </row>
    <row r="19" ht="15" customHeight="1" s="37">
      <c r="A19" s="97" t="inlineStr">
        <is>
          <t>LAC-015</t>
        </is>
      </c>
      <c r="B19" s="97" t="inlineStr">
        <is>
          <t>Jocoque 1 kg</t>
        </is>
      </c>
      <c r="C19" s="97" t="inlineStr">
        <is>
          <t>Lácteos</t>
        </is>
      </c>
      <c r="D19" s="97" t="inlineStr">
        <is>
          <t>Lácteos La Aurora, S.A. de C.V.</t>
        </is>
      </c>
      <c r="E19" s="190" t="n">
        <v>59.49</v>
      </c>
      <c r="F19" s="190" t="n">
        <v>72.41</v>
      </c>
      <c r="G19" s="191">
        <f>F19-E19</f>
        <v/>
      </c>
      <c r="H19" s="192">
        <f>IF(F19=0,0,G19/F19)</f>
        <v/>
      </c>
      <c r="I19" s="101" t="n">
        <v>0</v>
      </c>
      <c r="J19" s="193" t="n">
        <v>90</v>
      </c>
      <c r="K19" s="193" t="n">
        <v>30</v>
      </c>
      <c r="L19" s="103">
        <f>IF(J19=0,"Agotado",IF(J19&lt;K19*0.4,"Stock bajo","OK"))</f>
        <v/>
      </c>
    </row>
    <row r="20" ht="15" customHeight="1" s="37">
      <c r="A20" s="97" t="inlineStr">
        <is>
          <t>LAC-016</t>
        </is>
      </c>
      <c r="B20" s="97" t="inlineStr">
        <is>
          <t>Media crema 250 ml</t>
        </is>
      </c>
      <c r="C20" s="97" t="inlineStr">
        <is>
          <t>Lácteos</t>
        </is>
      </c>
      <c r="D20" s="97" t="inlineStr">
        <is>
          <t>Lácteos La Aurora, S.A. de C.V.</t>
        </is>
      </c>
      <c r="E20" s="190" t="n">
        <v>73.18000000000001</v>
      </c>
      <c r="F20" s="190" t="n">
        <v>91.79000000000001</v>
      </c>
      <c r="G20" s="191">
        <f>F20-E20</f>
        <v/>
      </c>
      <c r="H20" s="192">
        <f>IF(F20=0,0,G20/F20)</f>
        <v/>
      </c>
      <c r="I20" s="101" t="n">
        <v>0</v>
      </c>
      <c r="J20" s="193" t="n">
        <v>66</v>
      </c>
      <c r="K20" s="193" t="n">
        <v>60</v>
      </c>
      <c r="L20" s="103">
        <f>IF(J20=0,"Agotado",IF(J20&lt;K20*0.4,"Stock bajo","OK"))</f>
        <v/>
      </c>
    </row>
    <row r="21" ht="15" customHeight="1" s="37">
      <c r="A21" s="97" t="inlineStr">
        <is>
          <t>LAC-017</t>
        </is>
      </c>
      <c r="B21" s="97" t="inlineStr">
        <is>
          <t>Queso doble crema 1 kg</t>
        </is>
      </c>
      <c r="C21" s="97" t="inlineStr">
        <is>
          <t>Lácteos</t>
        </is>
      </c>
      <c r="D21" s="97" t="inlineStr">
        <is>
          <t>Lácteos La Aurora, S.A. de C.V.</t>
        </is>
      </c>
      <c r="E21" s="190" t="n">
        <v>72.87</v>
      </c>
      <c r="F21" s="190" t="n">
        <v>86.66</v>
      </c>
      <c r="G21" s="191">
        <f>F21-E21</f>
        <v/>
      </c>
      <c r="H21" s="192">
        <f>IF(F21=0,0,G21/F21)</f>
        <v/>
      </c>
      <c r="I21" s="101" t="n">
        <v>0</v>
      </c>
      <c r="J21" s="193" t="n">
        <v>68</v>
      </c>
      <c r="K21" s="193" t="n">
        <v>60</v>
      </c>
      <c r="L21" s="103">
        <f>IF(J21=0,"Agotado",IF(J21&lt;K21*0.4,"Stock bajo","OK"))</f>
        <v/>
      </c>
    </row>
    <row r="22" ht="15" customHeight="1" s="37">
      <c r="A22" s="97" t="inlineStr">
        <is>
          <t>LAC-018</t>
        </is>
      </c>
      <c r="B22" s="97" t="inlineStr">
        <is>
          <t>Queso amarillo 1 kg</t>
        </is>
      </c>
      <c r="C22" s="97" t="inlineStr">
        <is>
          <t>Lácteos</t>
        </is>
      </c>
      <c r="D22" s="97" t="inlineStr">
        <is>
          <t>Lácteos La Aurora, S.A. de C.V.</t>
        </is>
      </c>
      <c r="E22" s="190" t="n">
        <v>57.02</v>
      </c>
      <c r="F22" s="190" t="n">
        <v>67.69</v>
      </c>
      <c r="G22" s="191">
        <f>F22-E22</f>
        <v/>
      </c>
      <c r="H22" s="192">
        <f>IF(F22=0,0,G22/F22)</f>
        <v/>
      </c>
      <c r="I22" s="101" t="n">
        <v>0</v>
      </c>
      <c r="J22" s="193" t="n">
        <v>0</v>
      </c>
      <c r="K22" s="193" t="n">
        <v>40</v>
      </c>
      <c r="L22" s="103">
        <f>IF(J22=0,"Agotado",IF(J22&lt;K22*0.4,"Stock bajo","OK"))</f>
        <v/>
      </c>
    </row>
    <row r="23" ht="15" customHeight="1" s="37">
      <c r="A23" s="97" t="inlineStr">
        <is>
          <t>EMB-001</t>
        </is>
      </c>
      <c r="B23" s="97" t="inlineStr">
        <is>
          <t>Jamón de pierna 1 kg</t>
        </is>
      </c>
      <c r="C23" s="97" t="inlineStr">
        <is>
          <t>Embutidos</t>
        </is>
      </c>
      <c r="D23" s="97" t="inlineStr">
        <is>
          <t>Embutidos La Aurora, S.A. de C.V.</t>
        </is>
      </c>
      <c r="E23" s="190" t="n">
        <v>69.23999999999999</v>
      </c>
      <c r="F23" s="190" t="n">
        <v>88.70999999999999</v>
      </c>
      <c r="G23" s="191">
        <f>F23-E23</f>
        <v/>
      </c>
      <c r="H23" s="192">
        <f>IF(F23=0,0,G23/F23)</f>
        <v/>
      </c>
      <c r="I23" s="101" t="n">
        <v>0</v>
      </c>
      <c r="J23" s="193" t="n">
        <v>102</v>
      </c>
      <c r="K23" s="193" t="n">
        <v>50</v>
      </c>
      <c r="L23" s="103">
        <f>IF(J23=0,"Agotado",IF(J23&lt;K23*0.4,"Stock bajo","OK"))</f>
        <v/>
      </c>
    </row>
    <row r="24" ht="15" customHeight="1" s="37">
      <c r="A24" s="97" t="inlineStr">
        <is>
          <t>EMB-002</t>
        </is>
      </c>
      <c r="B24" s="97" t="inlineStr">
        <is>
          <t>Jamón de pavo 1 kg</t>
        </is>
      </c>
      <c r="C24" s="97" t="inlineStr">
        <is>
          <t>Embutidos</t>
        </is>
      </c>
      <c r="D24" s="97" t="inlineStr">
        <is>
          <t>Embutidos La Aurora, S.A. de C.V.</t>
        </is>
      </c>
      <c r="E24" s="190" t="n">
        <v>89.19</v>
      </c>
      <c r="F24" s="190" t="n">
        <v>104.53</v>
      </c>
      <c r="G24" s="191">
        <f>F24-E24</f>
        <v/>
      </c>
      <c r="H24" s="192">
        <f>IF(F24=0,0,G24/F24)</f>
        <v/>
      </c>
      <c r="I24" s="101" t="n">
        <v>0</v>
      </c>
      <c r="J24" s="193" t="n">
        <v>98</v>
      </c>
      <c r="K24" s="193" t="n">
        <v>50</v>
      </c>
      <c r="L24" s="103">
        <f>IF(J24=0,"Agotado",IF(J24&lt;K24*0.4,"Stock bajo","OK"))</f>
        <v/>
      </c>
    </row>
    <row r="25" ht="15" customHeight="1" s="37">
      <c r="A25" s="97" t="inlineStr">
        <is>
          <t>EMB-003</t>
        </is>
      </c>
      <c r="B25" s="97" t="inlineStr">
        <is>
          <t>Salchicha de pavo 1 kg</t>
        </is>
      </c>
      <c r="C25" s="97" t="inlineStr">
        <is>
          <t>Embutidos</t>
        </is>
      </c>
      <c r="D25" s="97" t="inlineStr">
        <is>
          <t>Embutidos La Aurora, S.A. de C.V.</t>
        </is>
      </c>
      <c r="E25" s="190" t="n">
        <v>131.76</v>
      </c>
      <c r="F25" s="190" t="n">
        <v>161.97</v>
      </c>
      <c r="G25" s="191">
        <f>F25-E25</f>
        <v/>
      </c>
      <c r="H25" s="192">
        <f>IF(F25=0,0,G25/F25)</f>
        <v/>
      </c>
      <c r="I25" s="101" t="n">
        <v>0</v>
      </c>
      <c r="J25" s="193" t="n">
        <v>51</v>
      </c>
      <c r="K25" s="193" t="n">
        <v>20</v>
      </c>
      <c r="L25" s="103">
        <f>IF(J25=0,"Agotado",IF(J25&lt;K25*0.4,"Stock bajo","OK"))</f>
        <v/>
      </c>
    </row>
    <row r="26" ht="15" customHeight="1" s="37">
      <c r="A26" s="97" t="inlineStr">
        <is>
          <t>EMB-004</t>
        </is>
      </c>
      <c r="B26" s="97" t="inlineStr">
        <is>
          <t>Salchicha viena 1 kg</t>
        </is>
      </c>
      <c r="C26" s="97" t="inlineStr">
        <is>
          <t>Embutidos</t>
        </is>
      </c>
      <c r="D26" s="97" t="inlineStr">
        <is>
          <t>Embutidos La Aurora, S.A. de C.V.</t>
        </is>
      </c>
      <c r="E26" s="190" t="n">
        <v>98.48</v>
      </c>
      <c r="F26" s="190" t="n">
        <v>125.06</v>
      </c>
      <c r="G26" s="191">
        <f>F26-E26</f>
        <v/>
      </c>
      <c r="H26" s="192">
        <f>IF(F26=0,0,G26/F26)</f>
        <v/>
      </c>
      <c r="I26" s="101" t="n">
        <v>0</v>
      </c>
      <c r="J26" s="193" t="n">
        <v>42</v>
      </c>
      <c r="K26" s="193" t="n">
        <v>50</v>
      </c>
      <c r="L26" s="103">
        <f>IF(J26=0,"Agotado",IF(J26&lt;K26*0.4,"Stock bajo","OK"))</f>
        <v/>
      </c>
    </row>
    <row r="27" ht="15" customHeight="1" s="37">
      <c r="A27" s="97" t="inlineStr">
        <is>
          <t>EMB-005</t>
        </is>
      </c>
      <c r="B27" s="97" t="inlineStr">
        <is>
          <t>Chorizo argentino 1 kg</t>
        </is>
      </c>
      <c r="C27" s="97" t="inlineStr">
        <is>
          <t>Embutidos</t>
        </is>
      </c>
      <c r="D27" s="97" t="inlineStr">
        <is>
          <t>Embutidos La Aurora, S.A. de C.V.</t>
        </is>
      </c>
      <c r="E27" s="190" t="n">
        <v>98.03</v>
      </c>
      <c r="F27" s="190" t="n">
        <v>126.89</v>
      </c>
      <c r="G27" s="191">
        <f>F27-E27</f>
        <v/>
      </c>
      <c r="H27" s="192">
        <f>IF(F27=0,0,G27/F27)</f>
        <v/>
      </c>
      <c r="I27" s="101" t="n">
        <v>0</v>
      </c>
      <c r="J27" s="193" t="n">
        <v>8</v>
      </c>
      <c r="K27" s="193" t="n">
        <v>50</v>
      </c>
      <c r="L27" s="103">
        <f>IF(J27=0,"Agotado",IF(J27&lt;K27*0.4,"Stock bajo","OK"))</f>
        <v/>
      </c>
    </row>
    <row r="28" ht="15" customHeight="1" s="37">
      <c r="A28" s="97" t="inlineStr">
        <is>
          <t>EMB-006</t>
        </is>
      </c>
      <c r="B28" s="97" t="inlineStr">
        <is>
          <t>Chorizo español 1 kg</t>
        </is>
      </c>
      <c r="C28" s="97" t="inlineStr">
        <is>
          <t>Embutidos</t>
        </is>
      </c>
      <c r="D28" s="97" t="inlineStr">
        <is>
          <t>Embutidos La Aurora, S.A. de C.V.</t>
        </is>
      </c>
      <c r="E28" s="190" t="n">
        <v>116.61</v>
      </c>
      <c r="F28" s="190" t="n">
        <v>149.79</v>
      </c>
      <c r="G28" s="191">
        <f>F28-E28</f>
        <v/>
      </c>
      <c r="H28" s="192">
        <f>IF(F28=0,0,G28/F28)</f>
        <v/>
      </c>
      <c r="I28" s="101" t="n">
        <v>0</v>
      </c>
      <c r="J28" s="193" t="n">
        <v>15</v>
      </c>
      <c r="K28" s="193" t="n">
        <v>40</v>
      </c>
      <c r="L28" s="103">
        <f>IF(J28=0,"Agotado",IF(J28&lt;K28*0.4,"Stock bajo","OK"))</f>
        <v/>
      </c>
    </row>
    <row r="29" ht="15" customHeight="1" s="37">
      <c r="A29" s="97" t="inlineStr">
        <is>
          <t>EMB-007</t>
        </is>
      </c>
      <c r="B29" s="97" t="inlineStr">
        <is>
          <t>Tocino ahumado 1 kg</t>
        </is>
      </c>
      <c r="C29" s="97" t="inlineStr">
        <is>
          <t>Embutidos</t>
        </is>
      </c>
      <c r="D29" s="97" t="inlineStr">
        <is>
          <t>Embutidos La Aurora, S.A. de C.V.</t>
        </is>
      </c>
      <c r="E29" s="190" t="n">
        <v>126.02</v>
      </c>
      <c r="F29" s="190" t="n">
        <v>151.96</v>
      </c>
      <c r="G29" s="191">
        <f>F29-E29</f>
        <v/>
      </c>
      <c r="H29" s="192">
        <f>IF(F29=0,0,G29/F29)</f>
        <v/>
      </c>
      <c r="I29" s="101" t="n">
        <v>0</v>
      </c>
      <c r="J29" s="193" t="n">
        <v>0</v>
      </c>
      <c r="K29" s="193" t="n">
        <v>50</v>
      </c>
      <c r="L29" s="103">
        <f>IF(J29=0,"Agotado",IF(J29&lt;K29*0.4,"Stock bajo","OK"))</f>
        <v/>
      </c>
    </row>
    <row r="30" ht="15" customHeight="1" s="37">
      <c r="A30" s="97" t="inlineStr">
        <is>
          <t>EMB-008</t>
        </is>
      </c>
      <c r="B30" s="97" t="inlineStr">
        <is>
          <t>Pechuga de pavo 1 kg</t>
        </is>
      </c>
      <c r="C30" s="97" t="inlineStr">
        <is>
          <t>Embutidos</t>
        </is>
      </c>
      <c r="D30" s="97" t="inlineStr">
        <is>
          <t>Embutidos La Aurora, S.A. de C.V.</t>
        </is>
      </c>
      <c r="E30" s="190" t="n">
        <v>55.02</v>
      </c>
      <c r="F30" s="190" t="n">
        <v>67.83</v>
      </c>
      <c r="G30" s="191">
        <f>F30-E30</f>
        <v/>
      </c>
      <c r="H30" s="192">
        <f>IF(F30=0,0,G30/F30)</f>
        <v/>
      </c>
      <c r="I30" s="101" t="n">
        <v>0</v>
      </c>
      <c r="J30" s="193" t="n">
        <v>27</v>
      </c>
      <c r="K30" s="193" t="n">
        <v>20</v>
      </c>
      <c r="L30" s="103">
        <f>IF(J30=0,"Agotado",IF(J30&lt;K30*0.4,"Stock bajo","OK"))</f>
        <v/>
      </c>
    </row>
    <row r="31" ht="15" customHeight="1" s="37">
      <c r="A31" s="97" t="inlineStr">
        <is>
          <t>EMB-009</t>
        </is>
      </c>
      <c r="B31" s="97" t="inlineStr">
        <is>
          <t>Salami 1 kg</t>
        </is>
      </c>
      <c r="C31" s="97" t="inlineStr">
        <is>
          <t>Embutidos</t>
        </is>
      </c>
      <c r="D31" s="97" t="inlineStr">
        <is>
          <t>Embutidos La Aurora, S.A. de C.V.</t>
        </is>
      </c>
      <c r="E31" s="190" t="n">
        <v>78.54000000000001</v>
      </c>
      <c r="F31" s="190" t="n">
        <v>97.34</v>
      </c>
      <c r="G31" s="191">
        <f>F31-E31</f>
        <v/>
      </c>
      <c r="H31" s="192">
        <f>IF(F31=0,0,G31/F31)</f>
        <v/>
      </c>
      <c r="I31" s="101" t="n">
        <v>0</v>
      </c>
      <c r="J31" s="193" t="n">
        <v>51</v>
      </c>
      <c r="K31" s="193" t="n">
        <v>60</v>
      </c>
      <c r="L31" s="103">
        <f>IF(J31=0,"Agotado",IF(J31&lt;K31*0.4,"Stock bajo","OK"))</f>
        <v/>
      </c>
    </row>
    <row r="32" ht="15" customHeight="1" s="37">
      <c r="A32" s="97" t="inlineStr">
        <is>
          <t>EMB-010</t>
        </is>
      </c>
      <c r="B32" s="97" t="inlineStr">
        <is>
          <t>Mortadela 1 kg</t>
        </is>
      </c>
      <c r="C32" s="97" t="inlineStr">
        <is>
          <t>Embutidos</t>
        </is>
      </c>
      <c r="D32" s="97" t="inlineStr">
        <is>
          <t>Embutidos La Aurora, S.A. de C.V.</t>
        </is>
      </c>
      <c r="E32" s="190" t="n">
        <v>69.7</v>
      </c>
      <c r="F32" s="190" t="n">
        <v>82.95</v>
      </c>
      <c r="G32" s="191">
        <f>F32-E32</f>
        <v/>
      </c>
      <c r="H32" s="192">
        <f>IF(F32=0,0,G32/F32)</f>
        <v/>
      </c>
      <c r="I32" s="101" t="n">
        <v>0</v>
      </c>
      <c r="J32" s="193" t="n">
        <v>102</v>
      </c>
      <c r="K32" s="193" t="n">
        <v>60</v>
      </c>
      <c r="L32" s="103">
        <f>IF(J32=0,"Agotado",IF(J32&lt;K32*0.4,"Stock bajo","OK"))</f>
        <v/>
      </c>
    </row>
    <row r="33" ht="15" customHeight="1" s="37">
      <c r="A33" s="97" t="inlineStr">
        <is>
          <t>EMB-011</t>
        </is>
      </c>
      <c r="B33" s="97" t="inlineStr">
        <is>
          <t>Longaniza 1 kg</t>
        </is>
      </c>
      <c r="C33" s="97" t="inlineStr">
        <is>
          <t>Embutidos</t>
        </is>
      </c>
      <c r="D33" s="97" t="inlineStr">
        <is>
          <t>Embutidos La Aurora, S.A. de C.V.</t>
        </is>
      </c>
      <c r="E33" s="190" t="n">
        <v>120.53</v>
      </c>
      <c r="F33" s="190" t="n">
        <v>155.48</v>
      </c>
      <c r="G33" s="191">
        <f>F33-E33</f>
        <v/>
      </c>
      <c r="H33" s="192">
        <f>IF(F33=0,0,G33/F33)</f>
        <v/>
      </c>
      <c r="I33" s="101" t="n">
        <v>0</v>
      </c>
      <c r="J33" s="193" t="n">
        <v>93</v>
      </c>
      <c r="K33" s="193" t="n">
        <v>60</v>
      </c>
      <c r="L33" s="103">
        <f>IF(J33=0,"Agotado",IF(J33&lt;K33*0.4,"Stock bajo","OK"))</f>
        <v/>
      </c>
    </row>
    <row r="34" ht="15" customHeight="1" s="37">
      <c r="A34" s="97" t="inlineStr">
        <is>
          <t>EMB-012</t>
        </is>
      </c>
      <c r="B34" s="97" t="inlineStr">
        <is>
          <t>Peperoni 1 kg</t>
        </is>
      </c>
      <c r="C34" s="97" t="inlineStr">
        <is>
          <t>Embutidos</t>
        </is>
      </c>
      <c r="D34" s="97" t="inlineStr">
        <is>
          <t>Embutidos La Aurora, S.A. de C.V.</t>
        </is>
      </c>
      <c r="E34" s="190" t="n">
        <v>110.85</v>
      </c>
      <c r="F34" s="190" t="n">
        <v>143.37</v>
      </c>
      <c r="G34" s="191">
        <f>F34-E34</f>
        <v/>
      </c>
      <c r="H34" s="192">
        <f>IF(F34=0,0,G34/F34)</f>
        <v/>
      </c>
      <c r="I34" s="101" t="n">
        <v>0</v>
      </c>
      <c r="J34" s="193" t="n">
        <v>6</v>
      </c>
      <c r="K34" s="193" t="n">
        <v>60</v>
      </c>
      <c r="L34" s="103">
        <f>IF(J34=0,"Agotado",IF(J34&lt;K34*0.4,"Stock bajo","OK"))</f>
        <v/>
      </c>
    </row>
    <row r="35" ht="15" customHeight="1" s="37">
      <c r="A35" s="97" t="inlineStr">
        <is>
          <t>ABA-001</t>
        </is>
      </c>
      <c r="B35" s="97" t="inlineStr">
        <is>
          <t>Huevo blanco — cartón</t>
        </is>
      </c>
      <c r="C35" s="97" t="inlineStr">
        <is>
          <t>Abarrotes</t>
        </is>
      </c>
      <c r="D35" s="97" t="inlineStr">
        <is>
          <t>Abarrotes La Aurora, S.A. de C.V.</t>
        </is>
      </c>
      <c r="E35" s="190" t="n">
        <v>32.05</v>
      </c>
      <c r="F35" s="190" t="n">
        <v>37.36</v>
      </c>
      <c r="G35" s="191">
        <f>F35-E35</f>
        <v/>
      </c>
      <c r="H35" s="192">
        <f>IF(F35=0,0,G35/F35)</f>
        <v/>
      </c>
      <c r="I35" s="101" t="n">
        <v>0</v>
      </c>
      <c r="J35" s="193" t="n">
        <v>42</v>
      </c>
      <c r="K35" s="193" t="n">
        <v>30</v>
      </c>
      <c r="L35" s="103">
        <f>IF(J35=0,"Agotado",IF(J35&lt;K35*0.4,"Stock bajo","OK"))</f>
        <v/>
      </c>
    </row>
    <row r="36" ht="15" customHeight="1" s="37">
      <c r="A36" s="97" t="inlineStr">
        <is>
          <t>ABA-002</t>
        </is>
      </c>
      <c r="B36" s="97" t="inlineStr">
        <is>
          <t>Huevo rojo — cartón</t>
        </is>
      </c>
      <c r="C36" s="97" t="inlineStr">
        <is>
          <t>Abarrotes</t>
        </is>
      </c>
      <c r="D36" s="97" t="inlineStr">
        <is>
          <t>Abarrotes La Aurora, S.A. de C.V.</t>
        </is>
      </c>
      <c r="E36" s="190" t="n">
        <v>36.37</v>
      </c>
      <c r="F36" s="190" t="n">
        <v>43.73</v>
      </c>
      <c r="G36" s="191">
        <f>F36-E36</f>
        <v/>
      </c>
      <c r="H36" s="192">
        <f>IF(F36=0,0,G36/F36)</f>
        <v/>
      </c>
      <c r="I36" s="101" t="n">
        <v>0</v>
      </c>
      <c r="J36" s="193" t="n">
        <v>27</v>
      </c>
      <c r="K36" s="193" t="n">
        <v>30</v>
      </c>
      <c r="L36" s="103">
        <f>IF(J36=0,"Agotado",IF(J36&lt;K36*0.4,"Stock bajo","OK"))</f>
        <v/>
      </c>
    </row>
    <row r="37" ht="15" customHeight="1" s="37">
      <c r="A37" s="97" t="inlineStr">
        <is>
          <t>ABA-003</t>
        </is>
      </c>
      <c r="B37" s="97" t="inlineStr">
        <is>
          <t>Aceite vegetal 1 L</t>
        </is>
      </c>
      <c r="C37" s="97" t="inlineStr">
        <is>
          <t>Abarrotes</t>
        </is>
      </c>
      <c r="D37" s="97" t="inlineStr">
        <is>
          <t>Abarrotes La Aurora, S.A. de C.V.</t>
        </is>
      </c>
      <c r="E37" s="190" t="n">
        <v>30.05</v>
      </c>
      <c r="F37" s="190" t="n">
        <v>38.87</v>
      </c>
      <c r="G37" s="191">
        <f>F37-E37</f>
        <v/>
      </c>
      <c r="H37" s="192">
        <f>IF(F37=0,0,G37/F37)</f>
        <v/>
      </c>
      <c r="I37" s="101" t="n">
        <v>0</v>
      </c>
      <c r="J37" s="193" t="n">
        <v>0</v>
      </c>
      <c r="K37" s="193" t="n">
        <v>50</v>
      </c>
      <c r="L37" s="103">
        <f>IF(J37=0,"Agotado",IF(J37&lt;K37*0.4,"Stock bajo","OK"))</f>
        <v/>
      </c>
    </row>
    <row r="38" ht="15" customHeight="1" s="37">
      <c r="A38" s="97" t="inlineStr">
        <is>
          <t>ABA-004</t>
        </is>
      </c>
      <c r="B38" s="97" t="inlineStr">
        <is>
          <t>Aceite de oliva 1 L</t>
        </is>
      </c>
      <c r="C38" s="97" t="inlineStr">
        <is>
          <t>Abarrotes</t>
        </is>
      </c>
      <c r="D38" s="97" t="inlineStr">
        <is>
          <t>Abarrotes La Aurora, S.A. de C.V.</t>
        </is>
      </c>
      <c r="E38" s="190" t="n">
        <v>52.02</v>
      </c>
      <c r="F38" s="190" t="n">
        <v>64.68000000000001</v>
      </c>
      <c r="G38" s="191">
        <f>F38-E38</f>
        <v/>
      </c>
      <c r="H38" s="192">
        <f>IF(F38=0,0,G38/F38)</f>
        <v/>
      </c>
      <c r="I38" s="101" t="n">
        <v>0</v>
      </c>
      <c r="J38" s="193" t="n">
        <v>90</v>
      </c>
      <c r="K38" s="193" t="n">
        <v>20</v>
      </c>
      <c r="L38" s="103">
        <f>IF(J38=0,"Agotado",IF(J38&lt;K38*0.4,"Stock bajo","OK"))</f>
        <v/>
      </c>
    </row>
    <row r="39" ht="15" customHeight="1" s="37">
      <c r="A39" s="97" t="inlineStr">
        <is>
          <t>ABA-005</t>
        </is>
      </c>
      <c r="B39" s="97" t="inlineStr">
        <is>
          <t>Sal de mesa 1 kg</t>
        </is>
      </c>
      <c r="C39" s="97" t="inlineStr">
        <is>
          <t>Abarrotes</t>
        </is>
      </c>
      <c r="D39" s="97" t="inlineStr">
        <is>
          <t>Abarrotes La Aurora, S.A. de C.V.</t>
        </is>
      </c>
      <c r="E39" s="190" t="n">
        <v>27.73</v>
      </c>
      <c r="F39" s="190" t="n">
        <v>32.96</v>
      </c>
      <c r="G39" s="191">
        <f>F39-E39</f>
        <v/>
      </c>
      <c r="H39" s="192">
        <f>IF(F39=0,0,G39/F39)</f>
        <v/>
      </c>
      <c r="I39" s="101" t="n">
        <v>0</v>
      </c>
      <c r="J39" s="193" t="n">
        <v>90</v>
      </c>
      <c r="K39" s="193" t="n">
        <v>40</v>
      </c>
      <c r="L39" s="103">
        <f>IF(J39=0,"Agotado",IF(J39&lt;K39*0.4,"Stock bajo","OK"))</f>
        <v/>
      </c>
    </row>
    <row r="40" ht="15" customHeight="1" s="37">
      <c r="A40" s="97" t="inlineStr">
        <is>
          <t>ABA-006</t>
        </is>
      </c>
      <c r="B40" s="97" t="inlineStr">
        <is>
          <t>Azúcar estándar 1 kg</t>
        </is>
      </c>
      <c r="C40" s="97" t="inlineStr">
        <is>
          <t>Abarrotes</t>
        </is>
      </c>
      <c r="D40" s="97" t="inlineStr">
        <is>
          <t>Abarrotes La Aurora, S.A. de C.V.</t>
        </is>
      </c>
      <c r="E40" s="190" t="n">
        <v>57.54</v>
      </c>
      <c r="F40" s="190" t="n">
        <v>70.86</v>
      </c>
      <c r="G40" s="191">
        <f>F40-E40</f>
        <v/>
      </c>
      <c r="H40" s="192">
        <f>IF(F40=0,0,G40/F40)</f>
        <v/>
      </c>
      <c r="I40" s="101" t="n">
        <v>0</v>
      </c>
      <c r="J40" s="193" t="n">
        <v>18</v>
      </c>
      <c r="K40" s="193" t="n">
        <v>30</v>
      </c>
      <c r="L40" s="103">
        <f>IF(J40=0,"Agotado",IF(J40&lt;K40*0.4,"Stock bajo","OK"))</f>
        <v/>
      </c>
    </row>
    <row r="41" ht="15" customHeight="1" s="37">
      <c r="A41" s="97" t="inlineStr">
        <is>
          <t>ABA-007</t>
        </is>
      </c>
      <c r="B41" s="97" t="inlineStr">
        <is>
          <t>Harina de trigo 1 kg</t>
        </is>
      </c>
      <c r="C41" s="97" t="inlineStr">
        <is>
          <t>Abarrotes</t>
        </is>
      </c>
      <c r="D41" s="97" t="inlineStr">
        <is>
          <t>Abarrotes La Aurora, S.A. de C.V.</t>
        </is>
      </c>
      <c r="E41" s="190" t="n">
        <v>32.81</v>
      </c>
      <c r="F41" s="190" t="n">
        <v>39.17</v>
      </c>
      <c r="G41" s="191">
        <f>F41-E41</f>
        <v/>
      </c>
      <c r="H41" s="192">
        <f>IF(F41=0,0,G41/F41)</f>
        <v/>
      </c>
      <c r="I41" s="101" t="n">
        <v>0</v>
      </c>
      <c r="J41" s="193" t="n">
        <v>3</v>
      </c>
      <c r="K41" s="193" t="n">
        <v>60</v>
      </c>
      <c r="L41" s="103">
        <f>IF(J41=0,"Agotado",IF(J41&lt;K41*0.4,"Stock bajo","OK"))</f>
        <v/>
      </c>
    </row>
    <row r="42" ht="15" customHeight="1" s="37">
      <c r="A42" s="97" t="inlineStr">
        <is>
          <t>ABA-008</t>
        </is>
      </c>
      <c r="B42" s="97" t="inlineStr">
        <is>
          <t>Arroz 1 kg</t>
        </is>
      </c>
      <c r="C42" s="97" t="inlineStr">
        <is>
          <t>Abarrotes</t>
        </is>
      </c>
      <c r="D42" s="97" t="inlineStr">
        <is>
          <t>Abarrotes La Aurora, S.A. de C.V.</t>
        </is>
      </c>
      <c r="E42" s="190" t="n">
        <v>38.27</v>
      </c>
      <c r="F42" s="190" t="n">
        <v>43.84</v>
      </c>
      <c r="G42" s="191">
        <f>F42-E42</f>
        <v/>
      </c>
      <c r="H42" s="192">
        <f>IF(F42=0,0,G42/F42)</f>
        <v/>
      </c>
      <c r="I42" s="101" t="n">
        <v>0</v>
      </c>
      <c r="J42" s="193" t="n">
        <v>0</v>
      </c>
      <c r="K42" s="193" t="n">
        <v>30</v>
      </c>
      <c r="L42" s="103">
        <f>IF(J42=0,"Agotado",IF(J42&lt;K42*0.4,"Stock bajo","OK"))</f>
        <v/>
      </c>
    </row>
    <row r="43" ht="15" customHeight="1" s="37">
      <c r="A43" s="97" t="inlineStr">
        <is>
          <t>ABA-009</t>
        </is>
      </c>
      <c r="B43" s="97" t="inlineStr">
        <is>
          <t>Frijol 1 kg</t>
        </is>
      </c>
      <c r="C43" s="97" t="inlineStr">
        <is>
          <t>Abarrotes</t>
        </is>
      </c>
      <c r="D43" s="97" t="inlineStr">
        <is>
          <t>Abarrotes La Aurora, S.A. de C.V.</t>
        </is>
      </c>
      <c r="E43" s="190" t="n">
        <v>33.69</v>
      </c>
      <c r="F43" s="190" t="n">
        <v>42.47</v>
      </c>
      <c r="G43" s="191">
        <f>F43-E43</f>
        <v/>
      </c>
      <c r="H43" s="192">
        <f>IF(F43=0,0,G43/F43)</f>
        <v/>
      </c>
      <c r="I43" s="101" t="n">
        <v>0</v>
      </c>
      <c r="J43" s="193" t="n">
        <v>8</v>
      </c>
      <c r="K43" s="193" t="n">
        <v>30</v>
      </c>
      <c r="L43" s="103">
        <f>IF(J43=0,"Agotado",IF(J43&lt;K43*0.4,"Stock bajo","OK"))</f>
        <v/>
      </c>
    </row>
    <row r="44" ht="15" customHeight="1" s="37">
      <c r="A44" s="97" t="inlineStr">
        <is>
          <t>ABA-010</t>
        </is>
      </c>
      <c r="B44" s="97" t="inlineStr">
        <is>
          <t>Pasta 500 g</t>
        </is>
      </c>
      <c r="C44" s="97" t="inlineStr">
        <is>
          <t>Abarrotes</t>
        </is>
      </c>
      <c r="D44" s="97" t="inlineStr">
        <is>
          <t>Abarrotes La Aurora, S.A. de C.V.</t>
        </is>
      </c>
      <c r="E44" s="190" t="n">
        <v>18.2</v>
      </c>
      <c r="F44" s="190" t="n">
        <v>22.29</v>
      </c>
      <c r="G44" s="191">
        <f>F44-E44</f>
        <v/>
      </c>
      <c r="H44" s="192">
        <f>IF(F44=0,0,G44/F44)</f>
        <v/>
      </c>
      <c r="I44" s="101" t="n">
        <v>0</v>
      </c>
      <c r="J44" s="193" t="n">
        <v>3</v>
      </c>
      <c r="K44" s="193" t="n">
        <v>60</v>
      </c>
      <c r="L44" s="103">
        <f>IF(J44=0,"Agotado",IF(J44&lt;K44*0.4,"Stock bajo","OK"))</f>
        <v/>
      </c>
    </row>
    <row r="45" ht="15" customHeight="1" s="37">
      <c r="A45" s="97" t="inlineStr">
        <is>
          <t>ABA-011</t>
        </is>
      </c>
      <c r="B45" s="97" t="inlineStr">
        <is>
          <t>Atún en lata 140 g</t>
        </is>
      </c>
      <c r="C45" s="97" t="inlineStr">
        <is>
          <t>Abarrotes</t>
        </is>
      </c>
      <c r="D45" s="97" t="inlineStr">
        <is>
          <t>Abarrotes La Aurora, S.A. de C.V.</t>
        </is>
      </c>
      <c r="E45" s="190" t="n">
        <v>43.74</v>
      </c>
      <c r="F45" s="190" t="n">
        <v>51.17</v>
      </c>
      <c r="G45" s="191">
        <f>F45-E45</f>
        <v/>
      </c>
      <c r="H45" s="192">
        <f>IF(F45=0,0,G45/F45)</f>
        <v/>
      </c>
      <c r="I45" s="101" t="n">
        <v>0</v>
      </c>
      <c r="J45" s="193" t="n">
        <v>68</v>
      </c>
      <c r="K45" s="193" t="n">
        <v>40</v>
      </c>
      <c r="L45" s="103">
        <f>IF(J45=0,"Agotado",IF(J45&lt;K45*0.4,"Stock bajo","OK"))</f>
        <v/>
      </c>
    </row>
    <row r="46" ht="15" customHeight="1" s="37">
      <c r="A46" s="97" t="inlineStr">
        <is>
          <t>ABA-012</t>
        </is>
      </c>
      <c r="B46" s="97" t="inlineStr">
        <is>
          <t>Chiles en lata 220 g</t>
        </is>
      </c>
      <c r="C46" s="97" t="inlineStr">
        <is>
          <t>Abarrotes</t>
        </is>
      </c>
      <c r="D46" s="97" t="inlineStr">
        <is>
          <t>Abarrotes La Aurora, S.A. de C.V.</t>
        </is>
      </c>
      <c r="E46" s="190" t="n">
        <v>53.67</v>
      </c>
      <c r="F46" s="190" t="n">
        <v>64.47</v>
      </c>
      <c r="G46" s="191">
        <f>F46-E46</f>
        <v/>
      </c>
      <c r="H46" s="192">
        <f>IF(F46=0,0,G46/F46)</f>
        <v/>
      </c>
      <c r="I46" s="101" t="n">
        <v>0</v>
      </c>
      <c r="J46" s="193" t="n">
        <v>6</v>
      </c>
      <c r="K46" s="193" t="n">
        <v>30</v>
      </c>
      <c r="L46" s="103">
        <f>IF(J46=0,"Agotado",IF(J46&lt;K46*0.4,"Stock bajo","OK"))</f>
        <v/>
      </c>
    </row>
    <row r="47" ht="15" customHeight="1" s="37">
      <c r="A47" s="97" t="inlineStr">
        <is>
          <t>ABA-013</t>
        </is>
      </c>
      <c r="B47" s="97" t="inlineStr">
        <is>
          <t>Puré de tomate 800 g</t>
        </is>
      </c>
      <c r="C47" s="97" t="inlineStr">
        <is>
          <t>Abarrotes</t>
        </is>
      </c>
      <c r="D47" s="97" t="inlineStr">
        <is>
          <t>Abarrotes La Aurora, S.A. de C.V.</t>
        </is>
      </c>
      <c r="E47" s="190" t="n">
        <v>24.65</v>
      </c>
      <c r="F47" s="190" t="n">
        <v>30.06</v>
      </c>
      <c r="G47" s="191">
        <f>F47-E47</f>
        <v/>
      </c>
      <c r="H47" s="192">
        <f>IF(F47=0,0,G47/F47)</f>
        <v/>
      </c>
      <c r="I47" s="101" t="n">
        <v>0</v>
      </c>
      <c r="J47" s="193" t="n">
        <v>96</v>
      </c>
      <c r="K47" s="193" t="n">
        <v>50</v>
      </c>
      <c r="L47" s="103">
        <f>IF(J47=0,"Agotado",IF(J47&lt;K47*0.4,"Stock bajo","OK"))</f>
        <v/>
      </c>
    </row>
    <row r="48" ht="15" customHeight="1" s="37">
      <c r="A48" s="97" t="inlineStr">
        <is>
          <t>ABA-014</t>
        </is>
      </c>
      <c r="B48" s="97" t="inlineStr">
        <is>
          <t>Café molido 500 g</t>
        </is>
      </c>
      <c r="C48" s="97" t="inlineStr">
        <is>
          <t>Abarrotes</t>
        </is>
      </c>
      <c r="D48" s="97" t="inlineStr">
        <is>
          <t>Abarrotes La Aurora, S.A. de C.V.</t>
        </is>
      </c>
      <c r="E48" s="190" t="n">
        <v>20.49</v>
      </c>
      <c r="F48" s="190" t="n">
        <v>25.06</v>
      </c>
      <c r="G48" s="191">
        <f>F48-E48</f>
        <v/>
      </c>
      <c r="H48" s="192">
        <f>IF(F48=0,0,G48/F48)</f>
        <v/>
      </c>
      <c r="I48" s="101" t="n">
        <v>0</v>
      </c>
      <c r="J48" s="193" t="n">
        <v>30</v>
      </c>
      <c r="K48" s="193" t="n">
        <v>50</v>
      </c>
      <c r="L48" s="103">
        <f>IF(J48=0,"Agotado",IF(J48&lt;K48*0.4,"Stock bajo","OK"))</f>
        <v/>
      </c>
    </row>
    <row r="49" ht="15" customHeight="1" s="37">
      <c r="A49" s="97" t="inlineStr">
        <is>
          <t>ABA-015</t>
        </is>
      </c>
      <c r="B49" s="97" t="inlineStr">
        <is>
          <t>Lenteja 1 kg</t>
        </is>
      </c>
      <c r="C49" s="97" t="inlineStr">
        <is>
          <t>Abarrotes</t>
        </is>
      </c>
      <c r="D49" s="97" t="inlineStr">
        <is>
          <t>Abarrotes La Aurora, S.A. de C.V.</t>
        </is>
      </c>
      <c r="E49" s="190" t="n">
        <v>51.18</v>
      </c>
      <c r="F49" s="190" t="n">
        <v>65.29000000000001</v>
      </c>
      <c r="G49" s="191">
        <f>F49-E49</f>
        <v/>
      </c>
      <c r="H49" s="192">
        <f>IF(F49=0,0,G49/F49)</f>
        <v/>
      </c>
      <c r="I49" s="101" t="n">
        <v>0</v>
      </c>
      <c r="J49" s="193" t="n">
        <v>0</v>
      </c>
      <c r="K49" s="193" t="n">
        <v>30</v>
      </c>
      <c r="L49" s="103">
        <f>IF(J49=0,"Agotado",IF(J49&lt;K49*0.4,"Stock bajo","OK"))</f>
        <v/>
      </c>
    </row>
    <row r="50" ht="15" customHeight="1" s="37">
      <c r="A50" s="97" t="inlineStr">
        <is>
          <t>ABA-016</t>
        </is>
      </c>
      <c r="B50" s="97" t="inlineStr">
        <is>
          <t>Avena 1 kg</t>
        </is>
      </c>
      <c r="C50" s="97" t="inlineStr">
        <is>
          <t>Abarrotes</t>
        </is>
      </c>
      <c r="D50" s="97" t="inlineStr">
        <is>
          <t>Abarrotes La Aurora, S.A. de C.V.</t>
        </is>
      </c>
      <c r="E50" s="190" t="n">
        <v>54.17</v>
      </c>
      <c r="F50" s="190" t="n">
        <v>67.34999999999999</v>
      </c>
      <c r="G50" s="191">
        <f>F50-E50</f>
        <v/>
      </c>
      <c r="H50" s="192">
        <f>IF(F50=0,0,G50/F50)</f>
        <v/>
      </c>
      <c r="I50" s="101" t="n">
        <v>0</v>
      </c>
      <c r="J50" s="193" t="n">
        <v>12</v>
      </c>
      <c r="K50" s="193" t="n">
        <v>50</v>
      </c>
      <c r="L50" s="103">
        <f>IF(J50=0,"Agotado",IF(J50&lt;K50*0.4,"Stock bajo","OK"))</f>
        <v/>
      </c>
    </row>
    <row r="51" ht="15" customHeight="1" s="37">
      <c r="A51" s="97" t="inlineStr">
        <is>
          <t>ABA-017</t>
        </is>
      </c>
      <c r="B51" s="97" t="inlineStr">
        <is>
          <t>Galleta maría 1 kg</t>
        </is>
      </c>
      <c r="C51" s="97" t="inlineStr">
        <is>
          <t>Abarrotes</t>
        </is>
      </c>
      <c r="D51" s="97" t="inlineStr">
        <is>
          <t>Abarrotes La Aurora, S.A. de C.V.</t>
        </is>
      </c>
      <c r="E51" s="190" t="n">
        <v>58.14</v>
      </c>
      <c r="F51" s="190" t="n">
        <v>69.55</v>
      </c>
      <c r="G51" s="191">
        <f>F51-E51</f>
        <v/>
      </c>
      <c r="H51" s="192">
        <f>IF(F51=0,0,G51/F51)</f>
        <v/>
      </c>
      <c r="I51" s="101" t="n">
        <v>0</v>
      </c>
      <c r="J51" s="193" t="n">
        <v>21</v>
      </c>
      <c r="K51" s="193" t="n">
        <v>30</v>
      </c>
      <c r="L51" s="103">
        <f>IF(J51=0,"Agotado",IF(J51&lt;K51*0.4,"Stock bajo","OK"))</f>
        <v/>
      </c>
    </row>
  </sheetData>
  <mergeCells count="3">
    <mergeCell ref="A2:L2"/>
    <mergeCell ref="I3:L3"/>
    <mergeCell ref="A1:L1"/>
  </mergeCells>
  <conditionalFormatting sqref="L5:L51">
    <cfRule type="expression" priority="1" dxfId="0">
      <formula>$L5="Agotado"</formula>
    </cfRule>
    <cfRule type="expression" priority="2" dxfId="1">
      <formula>$L5="Stock bajo"</formula>
    </cfRule>
    <cfRule type="expression" priority="3" dxfId="2">
      <formula>$L5="OK"</formula>
    </cfRule>
  </conditionalFormatting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H15"/>
  <sheetViews>
    <sheetView showGridLines="0"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28" customWidth="1" style="37" min="1" max="1"/>
    <col width="13" customWidth="1" style="37" min="2" max="2"/>
    <col width="15" customWidth="1" style="37" min="3" max="3"/>
    <col width="18" customWidth="1" style="37" min="4" max="4"/>
    <col width="11" customWidth="1" style="37" min="5" max="5"/>
    <col width="8" customWidth="1" style="37" min="6" max="6"/>
    <col width="20" customWidth="1" style="37" min="7" max="7"/>
    <col width="36" customWidth="1" style="37" min="8" max="8"/>
  </cols>
  <sheetData>
    <row r="1" ht="32" customHeight="1" s="37">
      <c r="A1" s="91" t="inlineStr">
        <is>
          <t>CATÁLOGO MAESTRO DE CLIENTES — Distribuidora La Aurora</t>
        </is>
      </c>
    </row>
    <row r="2" ht="22" customHeight="1" s="37">
      <c r="A2" s="74" t="inlineStr">
        <is>
          <t>Cada cliente vive aquí UNA sola vez. Pedidos y Histórico jalan tipo, RFC y condiciones por VLOOKUP. Cuando das de alta uno nuevo, lo capturas aquí.</t>
        </is>
      </c>
    </row>
    <row r="4" ht="30" customHeight="1" s="37">
      <c r="A4" s="52" t="inlineStr">
        <is>
          <t>Cliente</t>
        </is>
      </c>
      <c r="B4" s="52" t="inlineStr">
        <is>
          <t>Tipo</t>
        </is>
      </c>
      <c r="C4" s="52" t="inlineStr">
        <is>
          <t>RFC</t>
        </is>
      </c>
      <c r="D4" s="52" t="inlineStr">
        <is>
          <t>Condición de pago</t>
        </is>
      </c>
      <c r="E4" s="52" t="inlineStr">
        <is>
          <t>Crédito (días)</t>
        </is>
      </c>
      <c r="F4" s="52" t="inlineStr">
        <is>
          <t>Ciudad</t>
        </is>
      </c>
      <c r="G4" s="52" t="inlineStr">
        <is>
          <t>Contacto</t>
        </is>
      </c>
      <c r="H4" s="52" t="inlineStr">
        <is>
          <t>Notas</t>
        </is>
      </c>
    </row>
    <row r="5">
      <c r="A5" s="194" t="inlineStr">
        <is>
          <t>Cafetería Central</t>
        </is>
      </c>
      <c r="B5" s="194" t="inlineStr">
        <is>
          <t>Cafetería</t>
        </is>
      </c>
      <c r="C5" s="194" t="inlineStr">
        <is>
          <t>CCN960115AB1</t>
        </is>
      </c>
      <c r="D5" s="194" t="inlineStr">
        <is>
          <t>Contado</t>
        </is>
      </c>
      <c r="E5" s="195" t="n">
        <v>0</v>
      </c>
      <c r="F5" s="194" t="inlineStr">
        <is>
          <t>CDMX</t>
        </is>
      </c>
      <c r="G5" s="194" t="inlineStr">
        <is>
          <t>Lourdes Méndez</t>
        </is>
      </c>
      <c r="H5" s="194" t="inlineStr">
        <is>
          <t>Surtido 8:00 a.m., 3× por semana</t>
        </is>
      </c>
    </row>
    <row r="6">
      <c r="A6" s="194" t="inlineStr">
        <is>
          <t>Cocina Económica Lupita</t>
        </is>
      </c>
      <c r="B6" s="194" t="inlineStr">
        <is>
          <t>Fonda</t>
        </is>
      </c>
      <c r="C6" s="194" t="inlineStr">
        <is>
          <t>CEL880330FH4</t>
        </is>
      </c>
      <c r="D6" s="194" t="inlineStr">
        <is>
          <t>Contado</t>
        </is>
      </c>
      <c r="E6" s="195" t="n">
        <v>0</v>
      </c>
      <c r="F6" s="194" t="inlineStr">
        <is>
          <t>CDMX</t>
        </is>
      </c>
      <c r="G6" s="194" t="inlineStr">
        <is>
          <t>Lupita Hernández</t>
        </is>
      </c>
      <c r="H6" s="194" t="inlineStr">
        <is>
          <t>Pedido los martes y jueves</t>
        </is>
      </c>
    </row>
    <row r="7">
      <c r="A7" s="194" t="inlineStr">
        <is>
          <t>Taquería La Once</t>
        </is>
      </c>
      <c r="B7" s="194" t="inlineStr">
        <is>
          <t>Restaurante</t>
        </is>
      </c>
      <c r="C7" s="194" t="inlineStr">
        <is>
          <t>TLO020708KS6</t>
        </is>
      </c>
      <c r="D7" s="194" t="inlineStr">
        <is>
          <t>Contado</t>
        </is>
      </c>
      <c r="E7" s="195" t="n">
        <v>0</v>
      </c>
      <c r="F7" s="194" t="inlineStr">
        <is>
          <t>CDMX</t>
        </is>
      </c>
      <c r="G7" s="194" t="inlineStr">
        <is>
          <t>Roberto Sánchez</t>
        </is>
      </c>
      <c r="H7" s="194" t="inlineStr">
        <is>
          <t>Surtido diario, embutidos premium</t>
        </is>
      </c>
    </row>
    <row r="8">
      <c r="A8" s="194" t="inlineStr">
        <is>
          <t>Hotel Plaza Sur</t>
        </is>
      </c>
      <c r="B8" s="194" t="inlineStr">
        <is>
          <t>Hotel</t>
        </is>
      </c>
      <c r="C8" s="194" t="inlineStr">
        <is>
          <t>HPS951212TR8</t>
        </is>
      </c>
      <c r="D8" s="194" t="inlineStr">
        <is>
          <t>Crédito 15 días</t>
        </is>
      </c>
      <c r="E8" s="195" t="n">
        <v>15</v>
      </c>
      <c r="F8" s="194" t="inlineStr">
        <is>
          <t>CDMX</t>
        </is>
      </c>
      <c r="G8" s="194" t="inlineStr">
        <is>
          <t>Adriana López</t>
        </is>
      </c>
      <c r="H8" s="194" t="inlineStr">
        <is>
          <t>Cliente top — 6.9% del total</t>
        </is>
      </c>
    </row>
    <row r="9">
      <c r="A9" s="194" t="inlineStr">
        <is>
          <t>Restaurante El Fogón</t>
        </is>
      </c>
      <c r="B9" s="194" t="inlineStr">
        <is>
          <t>Restaurante</t>
        </is>
      </c>
      <c r="C9" s="194" t="inlineStr">
        <is>
          <t>REF000420ED2</t>
        </is>
      </c>
      <c r="D9" s="194" t="inlineStr">
        <is>
          <t>Crédito 15 días</t>
        </is>
      </c>
      <c r="E9" s="195" t="n">
        <v>15</v>
      </c>
      <c r="F9" s="194" t="inlineStr">
        <is>
          <t>CDMX</t>
        </is>
      </c>
      <c r="G9" s="194" t="inlineStr">
        <is>
          <t>Chef Joaquín</t>
        </is>
      </c>
      <c r="H9" s="194" t="inlineStr">
        <is>
          <t>Mix completo, pedido jueves</t>
        </is>
      </c>
    </row>
    <row r="10">
      <c r="A10" s="194" t="inlineStr">
        <is>
          <t>Hotel Mibani</t>
        </is>
      </c>
      <c r="B10" s="194" t="inlineStr">
        <is>
          <t>Hotel</t>
        </is>
      </c>
      <c r="C10" s="194" t="inlineStr">
        <is>
          <t>HMI071105BN7</t>
        </is>
      </c>
      <c r="D10" s="194" t="inlineStr">
        <is>
          <t>Crédito 30 días</t>
        </is>
      </c>
      <c r="E10" s="195" t="n">
        <v>30</v>
      </c>
      <c r="F10" s="194" t="inlineStr">
        <is>
          <t>EDOMX</t>
        </is>
      </c>
      <c r="G10" s="194" t="inlineStr">
        <is>
          <t>Patricia Romo</t>
        </is>
      </c>
      <c r="H10" s="194" t="inlineStr">
        <is>
          <t>Pedido semanal · lácteos + abarrotes</t>
        </is>
      </c>
    </row>
    <row r="11">
      <c r="A11" s="194" t="inlineStr">
        <is>
          <t>Abarrotes Don Beto</t>
        </is>
      </c>
      <c r="B11" s="194" t="inlineStr">
        <is>
          <t>Retail</t>
        </is>
      </c>
      <c r="C11" s="194" t="inlineStr">
        <is>
          <t>ADB680622XS3</t>
        </is>
      </c>
      <c r="D11" s="194" t="inlineStr">
        <is>
          <t>Contado</t>
        </is>
      </c>
      <c r="E11" s="195" t="n">
        <v>0</v>
      </c>
      <c r="F11" s="194" t="inlineStr">
        <is>
          <t>CDMX</t>
        </is>
      </c>
      <c r="G11" s="194" t="inlineStr">
        <is>
          <t>Don Beto</t>
        </is>
      </c>
      <c r="H11" s="194" t="inlineStr">
        <is>
          <t>Compra de mostrador</t>
        </is>
      </c>
    </row>
    <row r="12">
      <c r="A12" s="194" t="inlineStr">
        <is>
          <t>Marisquería El Puerto</t>
        </is>
      </c>
      <c r="B12" s="194" t="inlineStr">
        <is>
          <t>Restaurante</t>
        </is>
      </c>
      <c r="C12" s="194" t="inlineStr">
        <is>
          <t>MPU190308QW1</t>
        </is>
      </c>
      <c r="D12" s="194" t="inlineStr">
        <is>
          <t>Crédito 15 días</t>
        </is>
      </c>
      <c r="E12" s="195" t="n">
        <v>15</v>
      </c>
      <c r="F12" s="194" t="inlineStr">
        <is>
          <t>CDMX</t>
        </is>
      </c>
      <c r="G12" s="194" t="inlineStr">
        <is>
          <t>Marisol Ortega</t>
        </is>
      </c>
      <c r="H12" s="194" t="inlineStr">
        <is>
          <t>Pedido viernes</t>
        </is>
      </c>
    </row>
    <row r="13">
      <c r="A13" s="194" t="inlineStr">
        <is>
          <t>Mercado Roma — Local 12</t>
        </is>
      </c>
      <c r="B13" s="194" t="inlineStr">
        <is>
          <t>Retail</t>
        </is>
      </c>
      <c r="C13" s="194" t="inlineStr">
        <is>
          <t>MRL020514ZX9</t>
        </is>
      </c>
      <c r="D13" s="194" t="inlineStr">
        <is>
          <t>Contado</t>
        </is>
      </c>
      <c r="E13" s="195" t="n">
        <v>0</v>
      </c>
      <c r="F13" s="194" t="inlineStr">
        <is>
          <t>CDMX</t>
        </is>
      </c>
      <c r="G13" s="194" t="inlineStr">
        <is>
          <t>Sra. Lupe</t>
        </is>
      </c>
      <c r="H13" s="194" t="inlineStr">
        <is>
          <t>Cliente fuerte en lácteos</t>
        </is>
      </c>
    </row>
    <row r="14">
      <c r="A14" s="194" t="inlineStr">
        <is>
          <t>Hotel Camino Real Polanco</t>
        </is>
      </c>
      <c r="B14" s="194" t="inlineStr">
        <is>
          <t>Hotel</t>
        </is>
      </c>
      <c r="C14" s="194" t="inlineStr">
        <is>
          <t>HCR700810QV5</t>
        </is>
      </c>
      <c r="D14" s="194" t="inlineStr">
        <is>
          <t>Crédito 30 días</t>
        </is>
      </c>
      <c r="E14" s="195" t="n">
        <v>30</v>
      </c>
      <c r="F14" s="194" t="inlineStr">
        <is>
          <t>CDMX</t>
        </is>
      </c>
      <c r="G14" s="194" t="inlineStr">
        <is>
          <t>Juan Pérez</t>
        </is>
      </c>
      <c r="H14" s="194" t="inlineStr">
        <is>
          <t>Pedidos jueves, paga al cierre del mes</t>
        </is>
      </c>
    </row>
    <row r="15">
      <c r="A15" s="194" t="inlineStr">
        <is>
          <t>Catering Romántico SA</t>
        </is>
      </c>
      <c r="B15" s="194" t="inlineStr">
        <is>
          <t>Mayoreo</t>
        </is>
      </c>
      <c r="C15" s="194" t="inlineStr">
        <is>
          <t>CRM150925LL2</t>
        </is>
      </c>
      <c r="D15" s="194" t="inlineStr">
        <is>
          <t>Crédito 60 días</t>
        </is>
      </c>
      <c r="E15" s="195" t="n">
        <v>60</v>
      </c>
      <c r="F15" s="194" t="inlineStr">
        <is>
          <t>CDMX</t>
        </is>
      </c>
      <c r="G15" s="194" t="inlineStr">
        <is>
          <t>Eduardo Romero</t>
        </is>
      </c>
      <c r="H15" s="194" t="inlineStr">
        <is>
          <t>⚠ Cartera vencida &gt;90 días</t>
        </is>
      </c>
    </row>
  </sheetData>
  <autoFilter ref="A4:H15"/>
  <mergeCells count="2">
    <mergeCell ref="A2:H2"/>
    <mergeCell ref="A1:H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 filterMode="0">
    <outlinePr summaryBelow="1" summaryRight="1"/>
    <pageSetUpPr fitToPage="0"/>
  </sheetPr>
  <dimension ref="A1:G220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pane ySplit="4" topLeftCell="A5" activePane="bottomLeft" state="frozen"/>
      <selection pane="bottomLeft" activeCell="A1" activeCellId="0" sqref="A1"/>
    </sheetView>
  </sheetViews>
  <sheetFormatPr baseColWidth="8" defaultColWidth="8.6796875" defaultRowHeight="15" customHeight="0" zeroHeight="0" outlineLevelRow="0"/>
  <cols>
    <col width="28" customWidth="1" style="36" min="1" max="1"/>
    <col width="14" customWidth="1" style="36" min="2" max="2"/>
    <col width="11" customWidth="1" style="36" min="3" max="3"/>
    <col width="34" customWidth="1" style="36" min="4" max="4"/>
    <col width="13" customWidth="1" style="36" min="5" max="5"/>
    <col width="10" customWidth="1" style="36" min="6" max="6"/>
    <col width="12" customWidth="1" style="36" min="7" max="7"/>
  </cols>
  <sheetData>
    <row r="1" ht="32" customHeight="1" s="37">
      <c r="A1" s="91" t="inlineStr">
        <is>
          <t>Clientes — Compras por SKU</t>
        </is>
      </c>
    </row>
    <row r="2" ht="22" customHeight="1" s="37">
      <c r="A2" s="74" t="inlineStr">
        <is>
          <t>Cada renglón es una compra cliente-producto. Abajo: ranking de clientes por SKU (más alto a más bajo).</t>
        </is>
      </c>
    </row>
    <row r="4" ht="32" customHeight="1" s="37">
      <c r="A4" s="52" t="inlineStr">
        <is>
          <t>Cliente</t>
        </is>
      </c>
      <c r="B4" s="52" t="inlineStr">
        <is>
          <t>Tipo</t>
        </is>
      </c>
      <c r="C4" s="52" t="inlineStr">
        <is>
          <t>SKU</t>
        </is>
      </c>
      <c r="D4" s="52" t="inlineStr">
        <is>
          <t>Producto</t>
        </is>
      </c>
      <c r="E4" s="52" t="inlineStr">
        <is>
          <t>Categoría</t>
        </is>
      </c>
      <c r="F4" s="52" t="inlineStr">
        <is>
          <t>Unidades</t>
        </is>
      </c>
      <c r="G4" s="52" t="inlineStr">
        <is>
          <t>Ingreso</t>
        </is>
      </c>
    </row>
    <row r="5" ht="15" customHeight="1" s="37">
      <c r="A5" s="97" t="inlineStr">
        <is>
          <t>Cafetería Central</t>
        </is>
      </c>
      <c r="B5" s="97" t="inlineStr">
        <is>
          <t>Cafetería</t>
        </is>
      </c>
      <c r="C5" s="97" t="inlineStr">
        <is>
          <t>LAC-001</t>
        </is>
      </c>
      <c r="D5" s="103">
        <f>VLOOKUP(C5,Catálogo!$A$5:$L$51,2,0)</f>
        <v/>
      </c>
      <c r="E5" s="103">
        <f>VLOOKUP(C5,Catálogo!$A$5:$L$51,3,0)</f>
        <v/>
      </c>
      <c r="F5" s="115" t="n">
        <v>20</v>
      </c>
      <c r="G5" s="196" t="n">
        <v>900</v>
      </c>
    </row>
    <row r="6" ht="15" customHeight="1" s="37">
      <c r="A6" s="97" t="inlineStr">
        <is>
          <t>Cocina Económica Lupita</t>
        </is>
      </c>
      <c r="B6" s="97" t="inlineStr">
        <is>
          <t>Fonda</t>
        </is>
      </c>
      <c r="C6" s="97" t="inlineStr">
        <is>
          <t>LAC-001</t>
        </is>
      </c>
      <c r="D6" s="103">
        <f>VLOOKUP(C6,Catálogo!$A$5:$L$51,2,0)</f>
        <v/>
      </c>
      <c r="E6" s="103">
        <f>VLOOKUP(C6,Catálogo!$A$5:$L$51,3,0)</f>
        <v/>
      </c>
      <c r="F6" s="115" t="n">
        <v>15</v>
      </c>
      <c r="G6" s="196" t="n">
        <v>680</v>
      </c>
    </row>
    <row r="7" ht="15" customHeight="1" s="37">
      <c r="A7" s="97" t="inlineStr">
        <is>
          <t>Taquería La Once</t>
        </is>
      </c>
      <c r="B7" s="97" t="inlineStr">
        <is>
          <t>Restaurante</t>
        </is>
      </c>
      <c r="C7" s="97" t="inlineStr">
        <is>
          <t>LAC-001</t>
        </is>
      </c>
      <c r="D7" s="103">
        <f>VLOOKUP(C7,Catálogo!$A$5:$L$51,2,0)</f>
        <v/>
      </c>
      <c r="E7" s="103">
        <f>VLOOKUP(C7,Catálogo!$A$5:$L$51,3,0)</f>
        <v/>
      </c>
      <c r="F7" s="115" t="n">
        <v>9</v>
      </c>
      <c r="G7" s="196" t="n">
        <v>380</v>
      </c>
    </row>
    <row r="8" ht="15" customHeight="1" s="37">
      <c r="A8" s="97" t="inlineStr">
        <is>
          <t>Hotel Plaza Sur</t>
        </is>
      </c>
      <c r="B8" s="97" t="inlineStr">
        <is>
          <t>Hotel</t>
        </is>
      </c>
      <c r="C8" s="97" t="inlineStr">
        <is>
          <t>LAC-001</t>
        </is>
      </c>
      <c r="D8" s="103">
        <f>VLOOKUP(C8,Catálogo!$A$5:$L$51,2,0)</f>
        <v/>
      </c>
      <c r="E8" s="103">
        <f>VLOOKUP(C8,Catálogo!$A$5:$L$51,3,0)</f>
        <v/>
      </c>
      <c r="F8" s="115" t="n">
        <v>20</v>
      </c>
      <c r="G8" s="196" t="n">
        <v>870</v>
      </c>
    </row>
    <row r="9" ht="15" customHeight="1" s="37">
      <c r="A9" s="97" t="inlineStr">
        <is>
          <t>Restaurante El Fogón</t>
        </is>
      </c>
      <c r="B9" s="97" t="inlineStr">
        <is>
          <t>Restaurante</t>
        </is>
      </c>
      <c r="C9" s="97" t="inlineStr">
        <is>
          <t>LAC-001</t>
        </is>
      </c>
      <c r="D9" s="103">
        <f>VLOOKUP(C9,Catálogo!$A$5:$L$51,2,0)</f>
        <v/>
      </c>
      <c r="E9" s="103">
        <f>VLOOKUP(C9,Catálogo!$A$5:$L$51,3,0)</f>
        <v/>
      </c>
      <c r="F9" s="115" t="n">
        <v>13</v>
      </c>
      <c r="G9" s="196" t="n">
        <v>570</v>
      </c>
    </row>
    <row r="10" ht="15" customHeight="1" s="37">
      <c r="A10" s="97" t="inlineStr">
        <is>
          <t>Cafetería Central</t>
        </is>
      </c>
      <c r="B10" s="97" t="inlineStr">
        <is>
          <t>Cafetería</t>
        </is>
      </c>
      <c r="C10" s="97" t="inlineStr">
        <is>
          <t>LAC-002</t>
        </is>
      </c>
      <c r="D10" s="103">
        <f>VLOOKUP(C10,Catálogo!$A$5:$L$51,2,0)</f>
        <v/>
      </c>
      <c r="E10" s="103">
        <f>VLOOKUP(C10,Catálogo!$A$5:$L$51,3,0)</f>
        <v/>
      </c>
      <c r="F10" s="115" t="n">
        <v>69</v>
      </c>
      <c r="G10" s="196" t="n">
        <v>7560</v>
      </c>
    </row>
    <row r="11" ht="15" customHeight="1" s="37">
      <c r="A11" s="97" t="inlineStr">
        <is>
          <t>Restaurante El Fogón</t>
        </is>
      </c>
      <c r="B11" s="97" t="inlineStr">
        <is>
          <t>Restaurante</t>
        </is>
      </c>
      <c r="C11" s="97" t="inlineStr">
        <is>
          <t>LAC-003</t>
        </is>
      </c>
      <c r="D11" s="103">
        <f>VLOOKUP(C11,Catálogo!$A$5:$L$51,2,0)</f>
        <v/>
      </c>
      <c r="E11" s="103">
        <f>VLOOKUP(C11,Catálogo!$A$5:$L$51,3,0)</f>
        <v/>
      </c>
      <c r="F11" s="115" t="n">
        <v>17</v>
      </c>
      <c r="G11" s="196" t="n">
        <v>1640</v>
      </c>
    </row>
    <row r="12" ht="15" customHeight="1" s="37">
      <c r="A12" s="97" t="inlineStr">
        <is>
          <t>Cafetería Central</t>
        </is>
      </c>
      <c r="B12" s="97" t="inlineStr">
        <is>
          <t>Cafetería</t>
        </is>
      </c>
      <c r="C12" s="97" t="inlineStr">
        <is>
          <t>LAC-003</t>
        </is>
      </c>
      <c r="D12" s="103">
        <f>VLOOKUP(C12,Catálogo!$A$5:$L$51,2,0)</f>
        <v/>
      </c>
      <c r="E12" s="103">
        <f>VLOOKUP(C12,Catálogo!$A$5:$L$51,3,0)</f>
        <v/>
      </c>
      <c r="F12" s="115" t="n">
        <v>14</v>
      </c>
      <c r="G12" s="196" t="n">
        <v>1310</v>
      </c>
    </row>
    <row r="13" ht="15" customHeight="1" s="37">
      <c r="A13" s="97" t="inlineStr">
        <is>
          <t>Taquería La Once</t>
        </is>
      </c>
      <c r="B13" s="97" t="inlineStr">
        <is>
          <t>Restaurante</t>
        </is>
      </c>
      <c r="C13" s="97" t="inlineStr">
        <is>
          <t>LAC-003</t>
        </is>
      </c>
      <c r="D13" s="103">
        <f>VLOOKUP(C13,Catálogo!$A$5:$L$51,2,0)</f>
        <v/>
      </c>
      <c r="E13" s="103">
        <f>VLOOKUP(C13,Catálogo!$A$5:$L$51,3,0)</f>
        <v/>
      </c>
      <c r="F13" s="115" t="n">
        <v>36</v>
      </c>
      <c r="G13" s="196" t="n">
        <v>3520</v>
      </c>
    </row>
    <row r="14" ht="15" customHeight="1" s="37">
      <c r="A14" s="97" t="inlineStr">
        <is>
          <t>Hotel Mibani</t>
        </is>
      </c>
      <c r="B14" s="97" t="inlineStr">
        <is>
          <t>Hotel</t>
        </is>
      </c>
      <c r="C14" s="97" t="inlineStr">
        <is>
          <t>LAC-004</t>
        </is>
      </c>
      <c r="D14" s="103">
        <f>VLOOKUP(C14,Catálogo!$A$5:$L$51,2,0)</f>
        <v/>
      </c>
      <c r="E14" s="103">
        <f>VLOOKUP(C14,Catálogo!$A$5:$L$51,3,0)</f>
        <v/>
      </c>
      <c r="F14" s="115" t="n">
        <v>50</v>
      </c>
      <c r="G14" s="196" t="n">
        <v>2250</v>
      </c>
    </row>
    <row r="15" ht="15" customHeight="1" s="37">
      <c r="A15" s="97" t="inlineStr">
        <is>
          <t>Restaurante El Fogón</t>
        </is>
      </c>
      <c r="B15" s="97" t="inlineStr">
        <is>
          <t>Restaurante</t>
        </is>
      </c>
      <c r="C15" s="97" t="inlineStr">
        <is>
          <t>LAC-004</t>
        </is>
      </c>
      <c r="D15" s="103">
        <f>VLOOKUP(C15,Catálogo!$A$5:$L$51,2,0)</f>
        <v/>
      </c>
      <c r="E15" s="103">
        <f>VLOOKUP(C15,Catálogo!$A$5:$L$51,3,0)</f>
        <v/>
      </c>
      <c r="F15" s="115" t="n">
        <v>95</v>
      </c>
      <c r="G15" s="196" t="n">
        <v>4290</v>
      </c>
    </row>
    <row r="16" ht="15" customHeight="1" s="37">
      <c r="A16" s="97" t="inlineStr">
        <is>
          <t>Cafetería Central</t>
        </is>
      </c>
      <c r="B16" s="97" t="inlineStr">
        <is>
          <t>Cafetería</t>
        </is>
      </c>
      <c r="C16" s="97" t="inlineStr">
        <is>
          <t>LAC-005</t>
        </is>
      </c>
      <c r="D16" s="103">
        <f>VLOOKUP(C16,Catálogo!$A$5:$L$51,2,0)</f>
        <v/>
      </c>
      <c r="E16" s="103">
        <f>VLOOKUP(C16,Catálogo!$A$5:$L$51,3,0)</f>
        <v/>
      </c>
      <c r="F16" s="115" t="n">
        <v>10</v>
      </c>
      <c r="G16" s="196" t="n">
        <v>850</v>
      </c>
    </row>
    <row r="17" ht="15" customHeight="1" s="37">
      <c r="A17" s="97" t="inlineStr">
        <is>
          <t>Restaurante El Fogón</t>
        </is>
      </c>
      <c r="B17" s="97" t="inlineStr">
        <is>
          <t>Restaurante</t>
        </is>
      </c>
      <c r="C17" s="97" t="inlineStr">
        <is>
          <t>LAC-005</t>
        </is>
      </c>
      <c r="D17" s="103">
        <f>VLOOKUP(C17,Catálogo!$A$5:$L$51,2,0)</f>
        <v/>
      </c>
      <c r="E17" s="103">
        <f>VLOOKUP(C17,Catálogo!$A$5:$L$51,3,0)</f>
        <v/>
      </c>
      <c r="F17" s="115" t="n">
        <v>10</v>
      </c>
      <c r="G17" s="196" t="n">
        <v>880</v>
      </c>
    </row>
    <row r="18" ht="15" customHeight="1" s="37">
      <c r="A18" s="97" t="inlineStr">
        <is>
          <t>Cocina Económica Lupita</t>
        </is>
      </c>
      <c r="B18" s="97" t="inlineStr">
        <is>
          <t>Fonda</t>
        </is>
      </c>
      <c r="C18" s="97" t="inlineStr">
        <is>
          <t>LAC-005</t>
        </is>
      </c>
      <c r="D18" s="103">
        <f>VLOOKUP(C18,Catálogo!$A$5:$L$51,2,0)</f>
        <v/>
      </c>
      <c r="E18" s="103">
        <f>VLOOKUP(C18,Catálogo!$A$5:$L$51,3,0)</f>
        <v/>
      </c>
      <c r="F18" s="115" t="n">
        <v>9</v>
      </c>
      <c r="G18" s="196" t="n">
        <v>740</v>
      </c>
    </row>
    <row r="19" ht="15" customHeight="1" s="37">
      <c r="A19" s="97" t="inlineStr">
        <is>
          <t>Abarrotes Don Beto</t>
        </is>
      </c>
      <c r="B19" s="97" t="inlineStr">
        <is>
          <t>Retail</t>
        </is>
      </c>
      <c r="C19" s="97" t="inlineStr">
        <is>
          <t>LAC-005</t>
        </is>
      </c>
      <c r="D19" s="103">
        <f>VLOOKUP(C19,Catálogo!$A$5:$L$51,2,0)</f>
        <v/>
      </c>
      <c r="E19" s="103">
        <f>VLOOKUP(C19,Catálogo!$A$5:$L$51,3,0)</f>
        <v/>
      </c>
      <c r="F19" s="115" t="n">
        <v>11</v>
      </c>
      <c r="G19" s="196" t="n">
        <v>920</v>
      </c>
    </row>
    <row r="20" ht="15" customHeight="1" s="37">
      <c r="A20" s="97" t="inlineStr">
        <is>
          <t>Hotel Mibani</t>
        </is>
      </c>
      <c r="B20" s="97" t="inlineStr">
        <is>
          <t>Hotel</t>
        </is>
      </c>
      <c r="C20" s="97" t="inlineStr">
        <is>
          <t>LAC-005</t>
        </is>
      </c>
      <c r="D20" s="103">
        <f>VLOOKUP(C20,Catálogo!$A$5:$L$51,2,0)</f>
        <v/>
      </c>
      <c r="E20" s="103">
        <f>VLOOKUP(C20,Catálogo!$A$5:$L$51,3,0)</f>
        <v/>
      </c>
      <c r="F20" s="115" t="n">
        <v>8</v>
      </c>
      <c r="G20" s="196" t="n">
        <v>720</v>
      </c>
    </row>
    <row r="21" ht="15" customHeight="1" s="37">
      <c r="A21" s="97" t="inlineStr">
        <is>
          <t>Taquería La Once</t>
        </is>
      </c>
      <c r="B21" s="97" t="inlineStr">
        <is>
          <t>Restaurante</t>
        </is>
      </c>
      <c r="C21" s="97" t="inlineStr">
        <is>
          <t>LAC-006</t>
        </is>
      </c>
      <c r="D21" s="103">
        <f>VLOOKUP(C21,Catálogo!$A$5:$L$51,2,0)</f>
        <v/>
      </c>
      <c r="E21" s="103">
        <f>VLOOKUP(C21,Catálogo!$A$5:$L$51,3,0)</f>
        <v/>
      </c>
      <c r="F21" s="115" t="n">
        <v>13</v>
      </c>
      <c r="G21" s="196" t="n">
        <v>1410</v>
      </c>
    </row>
    <row r="22" ht="15" customHeight="1" s="37">
      <c r="A22" s="97" t="inlineStr">
        <is>
          <t>Cafetería Central</t>
        </is>
      </c>
      <c r="B22" s="97" t="inlineStr">
        <is>
          <t>Cafetería</t>
        </is>
      </c>
      <c r="C22" s="97" t="inlineStr">
        <is>
          <t>LAC-006</t>
        </is>
      </c>
      <c r="D22" s="103">
        <f>VLOOKUP(C22,Catálogo!$A$5:$L$51,2,0)</f>
        <v/>
      </c>
      <c r="E22" s="103">
        <f>VLOOKUP(C22,Catálogo!$A$5:$L$51,3,0)</f>
        <v/>
      </c>
      <c r="F22" s="115" t="n">
        <v>31</v>
      </c>
      <c r="G22" s="196" t="n">
        <v>3260</v>
      </c>
    </row>
    <row r="23" ht="15" customHeight="1" s="37">
      <c r="A23" s="97" t="inlineStr">
        <is>
          <t>Marisquería El Puerto</t>
        </is>
      </c>
      <c r="B23" s="97" t="inlineStr">
        <is>
          <t>Restaurante</t>
        </is>
      </c>
      <c r="C23" s="97" t="inlineStr">
        <is>
          <t>LAC-007</t>
        </is>
      </c>
      <c r="D23" s="103">
        <f>VLOOKUP(C23,Catálogo!$A$5:$L$51,2,0)</f>
        <v/>
      </c>
      <c r="E23" s="103">
        <f>VLOOKUP(C23,Catálogo!$A$5:$L$51,3,0)</f>
        <v/>
      </c>
      <c r="F23" s="115" t="n">
        <v>12</v>
      </c>
      <c r="G23" s="196" t="n">
        <v>510</v>
      </c>
    </row>
    <row r="24" ht="15" customHeight="1" s="37">
      <c r="A24" s="97" t="inlineStr">
        <is>
          <t>Taquería La Once</t>
        </is>
      </c>
      <c r="B24" s="97" t="inlineStr">
        <is>
          <t>Restaurante</t>
        </is>
      </c>
      <c r="C24" s="97" t="inlineStr">
        <is>
          <t>LAC-007</t>
        </is>
      </c>
      <c r="D24" s="103">
        <f>VLOOKUP(C24,Catálogo!$A$5:$L$51,2,0)</f>
        <v/>
      </c>
      <c r="E24" s="103">
        <f>VLOOKUP(C24,Catálogo!$A$5:$L$51,3,0)</f>
        <v/>
      </c>
      <c r="F24" s="115" t="n">
        <v>24</v>
      </c>
      <c r="G24" s="196" t="n">
        <v>1020</v>
      </c>
    </row>
    <row r="25" ht="15" customHeight="1" s="37">
      <c r="A25" s="97" t="inlineStr">
        <is>
          <t>Hotel Mibani</t>
        </is>
      </c>
      <c r="B25" s="97" t="inlineStr">
        <is>
          <t>Hotel</t>
        </is>
      </c>
      <c r="C25" s="97" t="inlineStr">
        <is>
          <t>LAC-007</t>
        </is>
      </c>
      <c r="D25" s="103">
        <f>VLOOKUP(C25,Catálogo!$A$5:$L$51,2,0)</f>
        <v/>
      </c>
      <c r="E25" s="103">
        <f>VLOOKUP(C25,Catálogo!$A$5:$L$51,3,0)</f>
        <v/>
      </c>
      <c r="F25" s="115" t="n">
        <v>22</v>
      </c>
      <c r="G25" s="196" t="n">
        <v>900</v>
      </c>
    </row>
    <row r="26" ht="15" customHeight="1" s="37">
      <c r="A26" s="97" t="inlineStr">
        <is>
          <t>Hotel Plaza Sur</t>
        </is>
      </c>
      <c r="B26" s="97" t="inlineStr">
        <is>
          <t>Hotel</t>
        </is>
      </c>
      <c r="C26" s="97" t="inlineStr">
        <is>
          <t>LAC-007</t>
        </is>
      </c>
      <c r="D26" s="103">
        <f>VLOOKUP(C26,Catálogo!$A$5:$L$51,2,0)</f>
        <v/>
      </c>
      <c r="E26" s="103">
        <f>VLOOKUP(C26,Catálogo!$A$5:$L$51,3,0)</f>
        <v/>
      </c>
      <c r="F26" s="115" t="n">
        <v>34</v>
      </c>
      <c r="G26" s="196" t="n">
        <v>1430</v>
      </c>
    </row>
    <row r="27" ht="15" customHeight="1" s="37">
      <c r="A27" s="97" t="inlineStr">
        <is>
          <t>Restaurante El Fogón</t>
        </is>
      </c>
      <c r="B27" s="97" t="inlineStr">
        <is>
          <t>Restaurante</t>
        </is>
      </c>
      <c r="C27" s="97" t="inlineStr">
        <is>
          <t>LAC-007</t>
        </is>
      </c>
      <c r="D27" s="103">
        <f>VLOOKUP(C27,Catálogo!$A$5:$L$51,2,0)</f>
        <v/>
      </c>
      <c r="E27" s="103">
        <f>VLOOKUP(C27,Catálogo!$A$5:$L$51,3,0)</f>
        <v/>
      </c>
      <c r="F27" s="115" t="n">
        <v>15</v>
      </c>
      <c r="G27" s="196" t="n">
        <v>630</v>
      </c>
    </row>
    <row r="28" ht="15" customHeight="1" s="37">
      <c r="A28" s="97" t="inlineStr">
        <is>
          <t>Hotel Mibani</t>
        </is>
      </c>
      <c r="B28" s="97" t="inlineStr">
        <is>
          <t>Hotel</t>
        </is>
      </c>
      <c r="C28" s="97" t="inlineStr">
        <is>
          <t>LAC-008</t>
        </is>
      </c>
      <c r="D28" s="103">
        <f>VLOOKUP(C28,Catálogo!$A$5:$L$51,2,0)</f>
        <v/>
      </c>
      <c r="E28" s="103">
        <f>VLOOKUP(C28,Catálogo!$A$5:$L$51,3,0)</f>
        <v/>
      </c>
      <c r="F28" s="115" t="n">
        <v>11</v>
      </c>
      <c r="G28" s="196" t="n">
        <v>1240</v>
      </c>
    </row>
    <row r="29" ht="15" customHeight="1" s="37">
      <c r="A29" s="97" t="inlineStr">
        <is>
          <t>Marisquería El Puerto</t>
        </is>
      </c>
      <c r="B29" s="97" t="inlineStr">
        <is>
          <t>Restaurante</t>
        </is>
      </c>
      <c r="C29" s="97" t="inlineStr">
        <is>
          <t>LAC-008</t>
        </is>
      </c>
      <c r="D29" s="103">
        <f>VLOOKUP(C29,Catálogo!$A$5:$L$51,2,0)</f>
        <v/>
      </c>
      <c r="E29" s="103">
        <f>VLOOKUP(C29,Catálogo!$A$5:$L$51,3,0)</f>
        <v/>
      </c>
      <c r="F29" s="115" t="n">
        <v>11</v>
      </c>
      <c r="G29" s="196" t="n">
        <v>1200</v>
      </c>
    </row>
    <row r="30" ht="15" customHeight="1" s="37">
      <c r="A30" s="97" t="inlineStr">
        <is>
          <t>Abarrotes Don Beto</t>
        </is>
      </c>
      <c r="B30" s="97" t="inlineStr">
        <is>
          <t>Retail</t>
        </is>
      </c>
      <c r="C30" s="97" t="inlineStr">
        <is>
          <t>LAC-008</t>
        </is>
      </c>
      <c r="D30" s="103">
        <f>VLOOKUP(C30,Catálogo!$A$5:$L$51,2,0)</f>
        <v/>
      </c>
      <c r="E30" s="103">
        <f>VLOOKUP(C30,Catálogo!$A$5:$L$51,3,0)</f>
        <v/>
      </c>
      <c r="F30" s="115" t="n">
        <v>11</v>
      </c>
      <c r="G30" s="196" t="n">
        <v>1200</v>
      </c>
    </row>
    <row r="31" ht="15" customHeight="1" s="37">
      <c r="A31" s="97" t="inlineStr">
        <is>
          <t>Cafetería Central</t>
        </is>
      </c>
      <c r="B31" s="97" t="inlineStr">
        <is>
          <t>Cafetería</t>
        </is>
      </c>
      <c r="C31" s="97" t="inlineStr">
        <is>
          <t>LAC-008</t>
        </is>
      </c>
      <c r="D31" s="103">
        <f>VLOOKUP(C31,Catálogo!$A$5:$L$51,2,0)</f>
        <v/>
      </c>
      <c r="E31" s="103">
        <f>VLOOKUP(C31,Catálogo!$A$5:$L$51,3,0)</f>
        <v/>
      </c>
      <c r="F31" s="115" t="n">
        <v>7</v>
      </c>
      <c r="G31" s="196" t="n">
        <v>760</v>
      </c>
    </row>
    <row r="32" ht="15" customHeight="1" s="37">
      <c r="A32" s="97" t="inlineStr">
        <is>
          <t>Restaurante El Fogón</t>
        </is>
      </c>
      <c r="B32" s="97" t="inlineStr">
        <is>
          <t>Restaurante</t>
        </is>
      </c>
      <c r="C32" s="97" t="inlineStr">
        <is>
          <t>LAC-008</t>
        </is>
      </c>
      <c r="D32" s="103">
        <f>VLOOKUP(C32,Catálogo!$A$5:$L$51,2,0)</f>
        <v/>
      </c>
      <c r="E32" s="103">
        <f>VLOOKUP(C32,Catálogo!$A$5:$L$51,3,0)</f>
        <v/>
      </c>
      <c r="F32" s="115" t="n">
        <v>9</v>
      </c>
      <c r="G32" s="196" t="n">
        <v>930</v>
      </c>
    </row>
    <row r="33" ht="15" customHeight="1" s="37">
      <c r="A33" s="97" t="inlineStr">
        <is>
          <t>Taquería La Once</t>
        </is>
      </c>
      <c r="B33" s="97" t="inlineStr">
        <is>
          <t>Restaurante</t>
        </is>
      </c>
      <c r="C33" s="97" t="inlineStr">
        <is>
          <t>LAC-008</t>
        </is>
      </c>
      <c r="D33" s="103">
        <f>VLOOKUP(C33,Catálogo!$A$5:$L$51,2,0)</f>
        <v/>
      </c>
      <c r="E33" s="103">
        <f>VLOOKUP(C33,Catálogo!$A$5:$L$51,3,0)</f>
        <v/>
      </c>
      <c r="F33" s="115" t="n">
        <v>10</v>
      </c>
      <c r="G33" s="196" t="n">
        <v>1130</v>
      </c>
    </row>
    <row r="34" ht="15" customHeight="1" s="37">
      <c r="A34" s="97" t="inlineStr">
        <is>
          <t>Restaurante El Fogón</t>
        </is>
      </c>
      <c r="B34" s="97" t="inlineStr">
        <is>
          <t>Restaurante</t>
        </is>
      </c>
      <c r="C34" s="97" t="inlineStr">
        <is>
          <t>LAC-009</t>
        </is>
      </c>
      <c r="D34" s="103">
        <f>VLOOKUP(C34,Catálogo!$A$5:$L$51,2,0)</f>
        <v/>
      </c>
      <c r="E34" s="103">
        <f>VLOOKUP(C34,Catálogo!$A$5:$L$51,3,0)</f>
        <v/>
      </c>
      <c r="F34" s="115" t="n">
        <v>33</v>
      </c>
      <c r="G34" s="196" t="n">
        <v>3340</v>
      </c>
    </row>
    <row r="35" ht="15" customHeight="1" s="37">
      <c r="A35" s="97" t="inlineStr">
        <is>
          <t>Abarrotes Don Beto</t>
        </is>
      </c>
      <c r="B35" s="97" t="inlineStr">
        <is>
          <t>Retail</t>
        </is>
      </c>
      <c r="C35" s="97" t="inlineStr">
        <is>
          <t>LAC-010</t>
        </is>
      </c>
      <c r="D35" s="103">
        <f>VLOOKUP(C35,Catálogo!$A$5:$L$51,2,0)</f>
        <v/>
      </c>
      <c r="E35" s="103">
        <f>VLOOKUP(C35,Catálogo!$A$5:$L$51,3,0)</f>
        <v/>
      </c>
      <c r="F35" s="115" t="n">
        <v>37</v>
      </c>
      <c r="G35" s="196" t="n">
        <v>2470</v>
      </c>
    </row>
    <row r="36" ht="15" customHeight="1" s="37">
      <c r="A36" s="97" t="inlineStr">
        <is>
          <t>Restaurante El Fogón</t>
        </is>
      </c>
      <c r="B36" s="97" t="inlineStr">
        <is>
          <t>Restaurante</t>
        </is>
      </c>
      <c r="C36" s="97" t="inlineStr">
        <is>
          <t>LAC-010</t>
        </is>
      </c>
      <c r="D36" s="103">
        <f>VLOOKUP(C36,Catálogo!$A$5:$L$51,2,0)</f>
        <v/>
      </c>
      <c r="E36" s="103">
        <f>VLOOKUP(C36,Catálogo!$A$5:$L$51,3,0)</f>
        <v/>
      </c>
      <c r="F36" s="115" t="n">
        <v>29</v>
      </c>
      <c r="G36" s="196" t="n">
        <v>1980</v>
      </c>
    </row>
    <row r="37" ht="15" customHeight="1" s="37">
      <c r="A37" s="97" t="inlineStr">
        <is>
          <t>Marisquería El Puerto</t>
        </is>
      </c>
      <c r="B37" s="97" t="inlineStr">
        <is>
          <t>Restaurante</t>
        </is>
      </c>
      <c r="C37" s="97" t="inlineStr">
        <is>
          <t>LAC-011</t>
        </is>
      </c>
      <c r="D37" s="103">
        <f>VLOOKUP(C37,Catálogo!$A$5:$L$51,2,0)</f>
        <v/>
      </c>
      <c r="E37" s="103">
        <f>VLOOKUP(C37,Catálogo!$A$5:$L$51,3,0)</f>
        <v/>
      </c>
      <c r="F37" s="115" t="n">
        <v>59</v>
      </c>
      <c r="G37" s="196" t="n">
        <v>4640</v>
      </c>
    </row>
    <row r="38" ht="15" customHeight="1" s="37">
      <c r="A38" s="97" t="inlineStr">
        <is>
          <t>Hotel Plaza Sur</t>
        </is>
      </c>
      <c r="B38" s="97" t="inlineStr">
        <is>
          <t>Hotel</t>
        </is>
      </c>
      <c r="C38" s="97" t="inlineStr">
        <is>
          <t>LAC-011</t>
        </is>
      </c>
      <c r="D38" s="103">
        <f>VLOOKUP(C38,Catálogo!$A$5:$L$51,2,0)</f>
        <v/>
      </c>
      <c r="E38" s="103">
        <f>VLOOKUP(C38,Catálogo!$A$5:$L$51,3,0)</f>
        <v/>
      </c>
      <c r="F38" s="115" t="n">
        <v>58</v>
      </c>
      <c r="G38" s="196" t="n">
        <v>4560</v>
      </c>
    </row>
    <row r="39" ht="15" customHeight="1" s="37">
      <c r="A39" s="97" t="inlineStr">
        <is>
          <t>Cafetería Central</t>
        </is>
      </c>
      <c r="B39" s="97" t="inlineStr">
        <is>
          <t>Cafetería</t>
        </is>
      </c>
      <c r="C39" s="97" t="inlineStr">
        <is>
          <t>LAC-012</t>
        </is>
      </c>
      <c r="D39" s="103">
        <f>VLOOKUP(C39,Catálogo!$A$5:$L$51,2,0)</f>
        <v/>
      </c>
      <c r="E39" s="103">
        <f>VLOOKUP(C39,Catálogo!$A$5:$L$51,3,0)</f>
        <v/>
      </c>
      <c r="F39" s="115" t="n">
        <v>22</v>
      </c>
      <c r="G39" s="196" t="n">
        <v>2330</v>
      </c>
    </row>
    <row r="40" ht="15" customHeight="1" s="37">
      <c r="A40" s="97" t="inlineStr">
        <is>
          <t>Taquería La Once</t>
        </is>
      </c>
      <c r="B40" s="97" t="inlineStr">
        <is>
          <t>Restaurante</t>
        </is>
      </c>
      <c r="C40" s="97" t="inlineStr">
        <is>
          <t>LAC-012</t>
        </is>
      </c>
      <c r="D40" s="103">
        <f>VLOOKUP(C40,Catálogo!$A$5:$L$51,2,0)</f>
        <v/>
      </c>
      <c r="E40" s="103">
        <f>VLOOKUP(C40,Catálogo!$A$5:$L$51,3,0)</f>
        <v/>
      </c>
      <c r="F40" s="115" t="n">
        <v>14</v>
      </c>
      <c r="G40" s="196" t="n">
        <v>1490</v>
      </c>
    </row>
    <row r="41" ht="15" customHeight="1" s="37">
      <c r="A41" s="97" t="inlineStr">
        <is>
          <t>Abarrotes Don Beto</t>
        </is>
      </c>
      <c r="B41" s="97" t="inlineStr">
        <is>
          <t>Retail</t>
        </is>
      </c>
      <c r="C41" s="97" t="inlineStr">
        <is>
          <t>LAC-013</t>
        </is>
      </c>
      <c r="D41" s="103">
        <f>VLOOKUP(C41,Catálogo!$A$5:$L$51,2,0)</f>
        <v/>
      </c>
      <c r="E41" s="103">
        <f>VLOOKUP(C41,Catálogo!$A$5:$L$51,3,0)</f>
        <v/>
      </c>
      <c r="F41" s="115" t="n">
        <v>22</v>
      </c>
      <c r="G41" s="196" t="n">
        <v>1770</v>
      </c>
    </row>
    <row r="42" ht="15" customHeight="1" s="37">
      <c r="A42" s="97" t="inlineStr">
        <is>
          <t>Cafetería Central</t>
        </is>
      </c>
      <c r="B42" s="97" t="inlineStr">
        <is>
          <t>Cafetería</t>
        </is>
      </c>
      <c r="C42" s="97" t="inlineStr">
        <is>
          <t>LAC-013</t>
        </is>
      </c>
      <c r="D42" s="103">
        <f>VLOOKUP(C42,Catálogo!$A$5:$L$51,2,0)</f>
        <v/>
      </c>
      <c r="E42" s="103">
        <f>VLOOKUP(C42,Catálogo!$A$5:$L$51,3,0)</f>
        <v/>
      </c>
      <c r="F42" s="115" t="n">
        <v>18</v>
      </c>
      <c r="G42" s="196" t="n">
        <v>1440</v>
      </c>
    </row>
    <row r="43" ht="15" customHeight="1" s="37">
      <c r="A43" s="97" t="inlineStr">
        <is>
          <t>Cocina Económica Lupita</t>
        </is>
      </c>
      <c r="B43" s="97" t="inlineStr">
        <is>
          <t>Fonda</t>
        </is>
      </c>
      <c r="C43" s="97" t="inlineStr">
        <is>
          <t>LAC-013</t>
        </is>
      </c>
      <c r="D43" s="103">
        <f>VLOOKUP(C43,Catálogo!$A$5:$L$51,2,0)</f>
        <v/>
      </c>
      <c r="E43" s="103">
        <f>VLOOKUP(C43,Catálogo!$A$5:$L$51,3,0)</f>
        <v/>
      </c>
      <c r="F43" s="115" t="n">
        <v>25</v>
      </c>
      <c r="G43" s="196" t="n">
        <v>1990</v>
      </c>
    </row>
    <row r="44" ht="15" customHeight="1" s="37">
      <c r="A44" s="97" t="inlineStr">
        <is>
          <t>Marisquería El Puerto</t>
        </is>
      </c>
      <c r="B44" s="97" t="inlineStr">
        <is>
          <t>Restaurante</t>
        </is>
      </c>
      <c r="C44" s="97" t="inlineStr">
        <is>
          <t>LAC-013</t>
        </is>
      </c>
      <c r="D44" s="103">
        <f>VLOOKUP(C44,Catálogo!$A$5:$L$51,2,0)</f>
        <v/>
      </c>
      <c r="E44" s="103">
        <f>VLOOKUP(C44,Catálogo!$A$5:$L$51,3,0)</f>
        <v/>
      </c>
      <c r="F44" s="115" t="n">
        <v>27</v>
      </c>
      <c r="G44" s="196" t="n">
        <v>2150</v>
      </c>
    </row>
    <row r="45" ht="15" customHeight="1" s="37">
      <c r="A45" s="97" t="inlineStr">
        <is>
          <t>Hotel Plaza Sur</t>
        </is>
      </c>
      <c r="B45" s="97" t="inlineStr">
        <is>
          <t>Hotel</t>
        </is>
      </c>
      <c r="C45" s="97" t="inlineStr">
        <is>
          <t>LAC-014</t>
        </is>
      </c>
      <c r="D45" s="103">
        <f>VLOOKUP(C45,Catálogo!$A$5:$L$51,2,0)</f>
        <v/>
      </c>
      <c r="E45" s="103">
        <f>VLOOKUP(C45,Catálogo!$A$5:$L$51,3,0)</f>
        <v/>
      </c>
      <c r="F45" s="115" t="n">
        <v>73</v>
      </c>
      <c r="G45" s="196" t="n">
        <v>7860</v>
      </c>
    </row>
    <row r="46" ht="15" customHeight="1" s="37">
      <c r="A46" s="97" t="inlineStr">
        <is>
          <t>Marisquería El Puerto</t>
        </is>
      </c>
      <c r="B46" s="97" t="inlineStr">
        <is>
          <t>Restaurante</t>
        </is>
      </c>
      <c r="C46" s="97" t="inlineStr">
        <is>
          <t>LAC-015</t>
        </is>
      </c>
      <c r="D46" s="103">
        <f>VLOOKUP(C46,Catálogo!$A$5:$L$51,2,0)</f>
        <v/>
      </c>
      <c r="E46" s="103">
        <f>VLOOKUP(C46,Catálogo!$A$5:$L$51,3,0)</f>
        <v/>
      </c>
      <c r="F46" s="115" t="n">
        <v>19</v>
      </c>
      <c r="G46" s="196" t="n">
        <v>1370</v>
      </c>
    </row>
    <row r="47" ht="15" customHeight="1" s="37">
      <c r="A47" s="97" t="inlineStr">
        <is>
          <t>Abarrotes Don Beto</t>
        </is>
      </c>
      <c r="B47" s="97" t="inlineStr">
        <is>
          <t>Retail</t>
        </is>
      </c>
      <c r="C47" s="97" t="inlineStr">
        <is>
          <t>LAC-015</t>
        </is>
      </c>
      <c r="D47" s="103">
        <f>VLOOKUP(C47,Catálogo!$A$5:$L$51,2,0)</f>
        <v/>
      </c>
      <c r="E47" s="103">
        <f>VLOOKUP(C47,Catálogo!$A$5:$L$51,3,0)</f>
        <v/>
      </c>
      <c r="F47" s="115" t="n">
        <v>25</v>
      </c>
      <c r="G47" s="196" t="n">
        <v>1800</v>
      </c>
    </row>
    <row r="48" ht="15" customHeight="1" s="37">
      <c r="A48" s="97" t="inlineStr">
        <is>
          <t>Restaurante El Fogón</t>
        </is>
      </c>
      <c r="B48" s="97" t="inlineStr">
        <is>
          <t>Restaurante</t>
        </is>
      </c>
      <c r="C48" s="97" t="inlineStr">
        <is>
          <t>LAC-015</t>
        </is>
      </c>
      <c r="D48" s="103">
        <f>VLOOKUP(C48,Catálogo!$A$5:$L$51,2,0)</f>
        <v/>
      </c>
      <c r="E48" s="103">
        <f>VLOOKUP(C48,Catálogo!$A$5:$L$51,3,0)</f>
        <v/>
      </c>
      <c r="F48" s="115" t="n">
        <v>18</v>
      </c>
      <c r="G48" s="196" t="n">
        <v>1310</v>
      </c>
    </row>
    <row r="49" ht="15" customHeight="1" s="37">
      <c r="A49" s="97" t="inlineStr">
        <is>
          <t>Hotel Mibani</t>
        </is>
      </c>
      <c r="B49" s="97" t="inlineStr">
        <is>
          <t>Hotel</t>
        </is>
      </c>
      <c r="C49" s="97" t="inlineStr">
        <is>
          <t>LAC-015</t>
        </is>
      </c>
      <c r="D49" s="103">
        <f>VLOOKUP(C49,Catálogo!$A$5:$L$51,2,0)</f>
        <v/>
      </c>
      <c r="E49" s="103">
        <f>VLOOKUP(C49,Catálogo!$A$5:$L$51,3,0)</f>
        <v/>
      </c>
      <c r="F49" s="115" t="n">
        <v>29</v>
      </c>
      <c r="G49" s="196" t="n">
        <v>2090</v>
      </c>
    </row>
    <row r="50" ht="15" customHeight="1" s="37">
      <c r="A50" s="97" t="inlineStr">
        <is>
          <t>Hotel Plaza Sur</t>
        </is>
      </c>
      <c r="B50" s="97" t="inlineStr">
        <is>
          <t>Hotel</t>
        </is>
      </c>
      <c r="C50" s="97" t="inlineStr">
        <is>
          <t>LAC-015</t>
        </is>
      </c>
      <c r="D50" s="103">
        <f>VLOOKUP(C50,Catálogo!$A$5:$L$51,2,0)</f>
        <v/>
      </c>
      <c r="E50" s="103">
        <f>VLOOKUP(C50,Catálogo!$A$5:$L$51,3,0)</f>
        <v/>
      </c>
      <c r="F50" s="115" t="n">
        <v>14</v>
      </c>
      <c r="G50" s="196" t="n">
        <v>1030</v>
      </c>
    </row>
    <row r="51" ht="15" customHeight="1" s="37">
      <c r="A51" s="97" t="inlineStr">
        <is>
          <t>Cocina Económica Lupita</t>
        </is>
      </c>
      <c r="B51" s="97" t="inlineStr">
        <is>
          <t>Fonda</t>
        </is>
      </c>
      <c r="C51" s="97" t="inlineStr">
        <is>
          <t>LAC-016</t>
        </is>
      </c>
      <c r="D51" s="103">
        <f>VLOOKUP(C51,Catálogo!$A$5:$L$51,2,0)</f>
        <v/>
      </c>
      <c r="E51" s="103">
        <f>VLOOKUP(C51,Catálogo!$A$5:$L$51,3,0)</f>
        <v/>
      </c>
      <c r="F51" s="115" t="n">
        <v>43</v>
      </c>
      <c r="G51" s="196" t="n">
        <v>3920</v>
      </c>
    </row>
    <row r="52" ht="15" customHeight="1" s="37">
      <c r="A52" s="97" t="inlineStr">
        <is>
          <t>Cafetería Central</t>
        </is>
      </c>
      <c r="B52" s="97" t="inlineStr">
        <is>
          <t>Cafetería</t>
        </is>
      </c>
      <c r="C52" s="97" t="inlineStr">
        <is>
          <t>LAC-017</t>
        </is>
      </c>
      <c r="D52" s="103">
        <f>VLOOKUP(C52,Catálogo!$A$5:$L$51,2,0)</f>
        <v/>
      </c>
      <c r="E52" s="103">
        <f>VLOOKUP(C52,Catálogo!$A$5:$L$51,3,0)</f>
        <v/>
      </c>
      <c r="F52" s="115" t="n">
        <v>20</v>
      </c>
      <c r="G52" s="196" t="n">
        <v>1740</v>
      </c>
    </row>
    <row r="53" ht="15" customHeight="1" s="37">
      <c r="A53" s="97" t="inlineStr">
        <is>
          <t>Abarrotes Don Beto</t>
        </is>
      </c>
      <c r="B53" s="97" t="inlineStr">
        <is>
          <t>Retail</t>
        </is>
      </c>
      <c r="C53" s="97" t="inlineStr">
        <is>
          <t>LAC-017</t>
        </is>
      </c>
      <c r="D53" s="103">
        <f>VLOOKUP(C53,Catálogo!$A$5:$L$51,2,0)</f>
        <v/>
      </c>
      <c r="E53" s="103">
        <f>VLOOKUP(C53,Catálogo!$A$5:$L$51,3,0)</f>
        <v/>
      </c>
      <c r="F53" s="115" t="n">
        <v>14</v>
      </c>
      <c r="G53" s="196" t="n">
        <v>1210</v>
      </c>
    </row>
    <row r="54" ht="15" customHeight="1" s="37">
      <c r="A54" s="97" t="inlineStr">
        <is>
          <t>Restaurante El Fogón</t>
        </is>
      </c>
      <c r="B54" s="97" t="inlineStr">
        <is>
          <t>Restaurante</t>
        </is>
      </c>
      <c r="C54" s="97" t="inlineStr">
        <is>
          <t>LAC-017</t>
        </is>
      </c>
      <c r="D54" s="103">
        <f>VLOOKUP(C54,Catálogo!$A$5:$L$51,2,0)</f>
        <v/>
      </c>
      <c r="E54" s="103">
        <f>VLOOKUP(C54,Catálogo!$A$5:$L$51,3,0)</f>
        <v/>
      </c>
      <c r="F54" s="115" t="n">
        <v>16</v>
      </c>
      <c r="G54" s="196" t="n">
        <v>1360</v>
      </c>
    </row>
    <row r="55" ht="15" customHeight="1" s="37">
      <c r="A55" s="97" t="inlineStr">
        <is>
          <t>Cocina Económica Lupita</t>
        </is>
      </c>
      <c r="B55" s="97" t="inlineStr">
        <is>
          <t>Fonda</t>
        </is>
      </c>
      <c r="C55" s="97" t="inlineStr">
        <is>
          <t>LAC-017</t>
        </is>
      </c>
      <c r="D55" s="103">
        <f>VLOOKUP(C55,Catálogo!$A$5:$L$51,2,0)</f>
        <v/>
      </c>
      <c r="E55" s="103">
        <f>VLOOKUP(C55,Catálogo!$A$5:$L$51,3,0)</f>
        <v/>
      </c>
      <c r="F55" s="115" t="n">
        <v>9</v>
      </c>
      <c r="G55" s="196" t="n">
        <v>780</v>
      </c>
    </row>
    <row r="56" ht="15" customHeight="1" s="37">
      <c r="A56" s="97" t="inlineStr">
        <is>
          <t>Marisquería El Puerto</t>
        </is>
      </c>
      <c r="B56" s="97" t="inlineStr">
        <is>
          <t>Restaurante</t>
        </is>
      </c>
      <c r="C56" s="97" t="inlineStr">
        <is>
          <t>LAC-017</t>
        </is>
      </c>
      <c r="D56" s="103">
        <f>VLOOKUP(C56,Catálogo!$A$5:$L$51,2,0)</f>
        <v/>
      </c>
      <c r="E56" s="103">
        <f>VLOOKUP(C56,Catálogo!$A$5:$L$51,3,0)</f>
        <v/>
      </c>
      <c r="F56" s="115" t="n">
        <v>14</v>
      </c>
      <c r="G56" s="196" t="n">
        <v>1200</v>
      </c>
    </row>
    <row r="57" ht="15" customHeight="1" s="37">
      <c r="A57" s="97" t="inlineStr">
        <is>
          <t>Taquería La Once</t>
        </is>
      </c>
      <c r="B57" s="97" t="inlineStr">
        <is>
          <t>Restaurante</t>
        </is>
      </c>
      <c r="C57" s="97" t="inlineStr">
        <is>
          <t>LAC-017</t>
        </is>
      </c>
      <c r="D57" s="103">
        <f>VLOOKUP(C57,Catálogo!$A$5:$L$51,2,0)</f>
        <v/>
      </c>
      <c r="E57" s="103">
        <f>VLOOKUP(C57,Catálogo!$A$5:$L$51,3,0)</f>
        <v/>
      </c>
      <c r="F57" s="115" t="n">
        <v>8</v>
      </c>
      <c r="G57" s="196" t="n">
        <v>690</v>
      </c>
    </row>
    <row r="58" ht="15" customHeight="1" s="37">
      <c r="A58" s="97" t="inlineStr">
        <is>
          <t>Marisquería El Puerto</t>
        </is>
      </c>
      <c r="B58" s="97" t="inlineStr">
        <is>
          <t>Restaurante</t>
        </is>
      </c>
      <c r="C58" s="97" t="inlineStr">
        <is>
          <t>LAC-018</t>
        </is>
      </c>
      <c r="D58" s="103">
        <f>VLOOKUP(C58,Catálogo!$A$5:$L$51,2,0)</f>
        <v/>
      </c>
      <c r="E58" s="103">
        <f>VLOOKUP(C58,Catálogo!$A$5:$L$51,3,0)</f>
        <v/>
      </c>
      <c r="F58" s="115" t="n">
        <v>18</v>
      </c>
      <c r="G58" s="196" t="n">
        <v>1250</v>
      </c>
    </row>
    <row r="59" ht="15" customHeight="1" s="37">
      <c r="A59" s="97" t="inlineStr">
        <is>
          <t>Taquería La Once</t>
        </is>
      </c>
      <c r="B59" s="97" t="inlineStr">
        <is>
          <t>Restaurante</t>
        </is>
      </c>
      <c r="C59" s="97" t="inlineStr">
        <is>
          <t>LAC-018</t>
        </is>
      </c>
      <c r="D59" s="103">
        <f>VLOOKUP(C59,Catálogo!$A$5:$L$51,2,0)</f>
        <v/>
      </c>
      <c r="E59" s="103">
        <f>VLOOKUP(C59,Catálogo!$A$5:$L$51,3,0)</f>
        <v/>
      </c>
      <c r="F59" s="115" t="n">
        <v>17</v>
      </c>
      <c r="G59" s="196" t="n">
        <v>1170</v>
      </c>
    </row>
    <row r="60" ht="15" customHeight="1" s="37">
      <c r="A60" s="97" t="inlineStr">
        <is>
          <t>Cafetería Central</t>
        </is>
      </c>
      <c r="B60" s="97" t="inlineStr">
        <is>
          <t>Cafetería</t>
        </is>
      </c>
      <c r="C60" s="97" t="inlineStr">
        <is>
          <t>LAC-018</t>
        </is>
      </c>
      <c r="D60" s="103">
        <f>VLOOKUP(C60,Catálogo!$A$5:$L$51,2,0)</f>
        <v/>
      </c>
      <c r="E60" s="103">
        <f>VLOOKUP(C60,Catálogo!$A$5:$L$51,3,0)</f>
        <v/>
      </c>
      <c r="F60" s="115" t="n">
        <v>10</v>
      </c>
      <c r="G60" s="196" t="n">
        <v>700</v>
      </c>
    </row>
    <row r="61" ht="15" customHeight="1" s="37">
      <c r="A61" s="97" t="inlineStr">
        <is>
          <t>Abarrotes Don Beto</t>
        </is>
      </c>
      <c r="B61" s="97" t="inlineStr">
        <is>
          <t>Retail</t>
        </is>
      </c>
      <c r="C61" s="97" t="inlineStr">
        <is>
          <t>LAC-018</t>
        </is>
      </c>
      <c r="D61" s="103">
        <f>VLOOKUP(C61,Catálogo!$A$5:$L$51,2,0)</f>
        <v/>
      </c>
      <c r="E61" s="103">
        <f>VLOOKUP(C61,Catálogo!$A$5:$L$51,3,0)</f>
        <v/>
      </c>
      <c r="F61" s="115" t="n">
        <v>21</v>
      </c>
      <c r="G61" s="196" t="n">
        <v>1410</v>
      </c>
    </row>
    <row r="62" ht="15" customHeight="1" s="37">
      <c r="A62" s="97" t="inlineStr">
        <is>
          <t>Hotel Plaza Sur</t>
        </is>
      </c>
      <c r="B62" s="97" t="inlineStr">
        <is>
          <t>Hotel</t>
        </is>
      </c>
      <c r="C62" s="97" t="inlineStr">
        <is>
          <t>LAC-018</t>
        </is>
      </c>
      <c r="D62" s="103">
        <f>VLOOKUP(C62,Catálogo!$A$5:$L$51,2,0)</f>
        <v/>
      </c>
      <c r="E62" s="103">
        <f>VLOOKUP(C62,Catálogo!$A$5:$L$51,3,0)</f>
        <v/>
      </c>
      <c r="F62" s="115" t="n">
        <v>12</v>
      </c>
      <c r="G62" s="196" t="n">
        <v>800</v>
      </c>
    </row>
    <row r="63" ht="15" customHeight="1" s="37">
      <c r="A63" s="97" t="inlineStr">
        <is>
          <t>Restaurante El Fogón</t>
        </is>
      </c>
      <c r="B63" s="97" t="inlineStr">
        <is>
          <t>Restaurante</t>
        </is>
      </c>
      <c r="C63" s="97" t="inlineStr">
        <is>
          <t>LAC-018</t>
        </is>
      </c>
      <c r="D63" s="103">
        <f>VLOOKUP(C63,Catálogo!$A$5:$L$51,2,0)</f>
        <v/>
      </c>
      <c r="E63" s="103">
        <f>VLOOKUP(C63,Catálogo!$A$5:$L$51,3,0)</f>
        <v/>
      </c>
      <c r="F63" s="115" t="n">
        <v>12</v>
      </c>
      <c r="G63" s="196" t="n">
        <v>790</v>
      </c>
    </row>
    <row r="64" ht="15" customHeight="1" s="37">
      <c r="A64" s="97" t="inlineStr">
        <is>
          <t>Marisquería El Puerto</t>
        </is>
      </c>
      <c r="B64" s="97" t="inlineStr">
        <is>
          <t>Restaurante</t>
        </is>
      </c>
      <c r="C64" s="97" t="inlineStr">
        <is>
          <t>EMB-001</t>
        </is>
      </c>
      <c r="D64" s="103">
        <f>VLOOKUP(C64,Catálogo!$A$5:$L$51,2,0)</f>
        <v/>
      </c>
      <c r="E64" s="103">
        <f>VLOOKUP(C64,Catálogo!$A$5:$L$51,3,0)</f>
        <v/>
      </c>
      <c r="F64" s="115" t="n">
        <v>33</v>
      </c>
      <c r="G64" s="196" t="n">
        <v>2910</v>
      </c>
    </row>
    <row r="65" ht="15" customHeight="1" s="37">
      <c r="A65" s="97" t="inlineStr">
        <is>
          <t>Hotel Mibani</t>
        </is>
      </c>
      <c r="B65" s="97" t="inlineStr">
        <is>
          <t>Hotel</t>
        </is>
      </c>
      <c r="C65" s="97" t="inlineStr">
        <is>
          <t>EMB-001</t>
        </is>
      </c>
      <c r="D65" s="103">
        <f>VLOOKUP(C65,Catálogo!$A$5:$L$51,2,0)</f>
        <v/>
      </c>
      <c r="E65" s="103">
        <f>VLOOKUP(C65,Catálogo!$A$5:$L$51,3,0)</f>
        <v/>
      </c>
      <c r="F65" s="115" t="n">
        <v>25</v>
      </c>
      <c r="G65" s="196" t="n">
        <v>2230</v>
      </c>
    </row>
    <row r="66" ht="15" customHeight="1" s="37">
      <c r="A66" s="97" t="inlineStr">
        <is>
          <t>Abarrotes Don Beto</t>
        </is>
      </c>
      <c r="B66" s="97" t="inlineStr">
        <is>
          <t>Retail</t>
        </is>
      </c>
      <c r="C66" s="97" t="inlineStr">
        <is>
          <t>EMB-002</t>
        </is>
      </c>
      <c r="D66" s="103">
        <f>VLOOKUP(C66,Catálogo!$A$5:$L$51,2,0)</f>
        <v/>
      </c>
      <c r="E66" s="103">
        <f>VLOOKUP(C66,Catálogo!$A$5:$L$51,3,0)</f>
        <v/>
      </c>
      <c r="F66" s="115" t="n">
        <v>30</v>
      </c>
      <c r="G66" s="196" t="n">
        <v>3100</v>
      </c>
    </row>
    <row r="67" ht="15" customHeight="1" s="37">
      <c r="A67" s="97" t="inlineStr">
        <is>
          <t>Cocina Económica Lupita</t>
        </is>
      </c>
      <c r="B67" s="97" t="inlineStr">
        <is>
          <t>Fonda</t>
        </is>
      </c>
      <c r="C67" s="97" t="inlineStr">
        <is>
          <t>EMB-002</t>
        </is>
      </c>
      <c r="D67" s="103">
        <f>VLOOKUP(C67,Catálogo!$A$5:$L$51,2,0)</f>
        <v/>
      </c>
      <c r="E67" s="103">
        <f>VLOOKUP(C67,Catálogo!$A$5:$L$51,3,0)</f>
        <v/>
      </c>
      <c r="F67" s="115" t="n">
        <v>13</v>
      </c>
      <c r="G67" s="196" t="n">
        <v>1350</v>
      </c>
    </row>
    <row r="68" ht="15" customHeight="1" s="37">
      <c r="A68" s="97" t="inlineStr">
        <is>
          <t>Taquería La Once</t>
        </is>
      </c>
      <c r="B68" s="97" t="inlineStr">
        <is>
          <t>Restaurante</t>
        </is>
      </c>
      <c r="C68" s="97" t="inlineStr">
        <is>
          <t>EMB-002</t>
        </is>
      </c>
      <c r="D68" s="103">
        <f>VLOOKUP(C68,Catálogo!$A$5:$L$51,2,0)</f>
        <v/>
      </c>
      <c r="E68" s="103">
        <f>VLOOKUP(C68,Catálogo!$A$5:$L$51,3,0)</f>
        <v/>
      </c>
      <c r="F68" s="115" t="n">
        <v>20</v>
      </c>
      <c r="G68" s="196" t="n">
        <v>2070</v>
      </c>
    </row>
    <row r="69" ht="15" customHeight="1" s="37">
      <c r="A69" s="97" t="inlineStr">
        <is>
          <t>Cafetería Central</t>
        </is>
      </c>
      <c r="B69" s="97" t="inlineStr">
        <is>
          <t>Cafetería</t>
        </is>
      </c>
      <c r="C69" s="97" t="inlineStr">
        <is>
          <t>EMB-002</t>
        </is>
      </c>
      <c r="D69" s="103">
        <f>VLOOKUP(C69,Catálogo!$A$5:$L$51,2,0)</f>
        <v/>
      </c>
      <c r="E69" s="103">
        <f>VLOOKUP(C69,Catálogo!$A$5:$L$51,3,0)</f>
        <v/>
      </c>
      <c r="F69" s="115" t="n">
        <v>16</v>
      </c>
      <c r="G69" s="196" t="n">
        <v>1640</v>
      </c>
    </row>
    <row r="70" ht="15" customHeight="1" s="37">
      <c r="A70" s="97" t="inlineStr">
        <is>
          <t>Hotel Mibani</t>
        </is>
      </c>
      <c r="B70" s="97" t="inlineStr">
        <is>
          <t>Hotel</t>
        </is>
      </c>
      <c r="C70" s="97" t="inlineStr">
        <is>
          <t>EMB-002</t>
        </is>
      </c>
      <c r="D70" s="103">
        <f>VLOOKUP(C70,Catálogo!$A$5:$L$51,2,0)</f>
        <v/>
      </c>
      <c r="E70" s="103">
        <f>VLOOKUP(C70,Catálogo!$A$5:$L$51,3,0)</f>
        <v/>
      </c>
      <c r="F70" s="115" t="n">
        <v>13</v>
      </c>
      <c r="G70" s="196" t="n">
        <v>1340</v>
      </c>
    </row>
    <row r="71" ht="15" customHeight="1" s="37">
      <c r="A71" s="97" t="inlineStr">
        <is>
          <t>Restaurante El Fogón</t>
        </is>
      </c>
      <c r="B71" s="97" t="inlineStr">
        <is>
          <t>Restaurante</t>
        </is>
      </c>
      <c r="C71" s="97" t="inlineStr">
        <is>
          <t>EMB-003</t>
        </is>
      </c>
      <c r="D71" s="103">
        <f>VLOOKUP(C71,Catálogo!$A$5:$L$51,2,0)</f>
        <v/>
      </c>
      <c r="E71" s="103">
        <f>VLOOKUP(C71,Catálogo!$A$5:$L$51,3,0)</f>
        <v/>
      </c>
      <c r="F71" s="115" t="n">
        <v>32</v>
      </c>
      <c r="G71" s="196" t="n">
        <v>5250</v>
      </c>
    </row>
    <row r="72" ht="15" customHeight="1" s="37">
      <c r="A72" s="97" t="inlineStr">
        <is>
          <t>Hotel Plaza Sur</t>
        </is>
      </c>
      <c r="B72" s="97" t="inlineStr">
        <is>
          <t>Hotel</t>
        </is>
      </c>
      <c r="C72" s="97" t="inlineStr">
        <is>
          <t>EMB-004</t>
        </is>
      </c>
      <c r="D72" s="103">
        <f>VLOOKUP(C72,Catálogo!$A$5:$L$51,2,0)</f>
        <v/>
      </c>
      <c r="E72" s="103">
        <f>VLOOKUP(C72,Catálogo!$A$5:$L$51,3,0)</f>
        <v/>
      </c>
      <c r="F72" s="115" t="n">
        <v>43</v>
      </c>
      <c r="G72" s="196" t="n">
        <v>5440</v>
      </c>
    </row>
    <row r="73" ht="15" customHeight="1" s="37">
      <c r="A73" s="97" t="inlineStr">
        <is>
          <t>Taquería La Once</t>
        </is>
      </c>
      <c r="B73" s="97" t="inlineStr">
        <is>
          <t>Restaurante</t>
        </is>
      </c>
      <c r="C73" s="97" t="inlineStr">
        <is>
          <t>EMB-005</t>
        </is>
      </c>
      <c r="D73" s="103">
        <f>VLOOKUP(C73,Catálogo!$A$5:$L$51,2,0)</f>
        <v/>
      </c>
      <c r="E73" s="103">
        <f>VLOOKUP(C73,Catálogo!$A$5:$L$51,3,0)</f>
        <v/>
      </c>
      <c r="F73" s="115" t="n">
        <v>6</v>
      </c>
      <c r="G73" s="196" t="n">
        <v>770</v>
      </c>
    </row>
    <row r="74" ht="15" customHeight="1" s="37">
      <c r="A74" s="97" t="inlineStr">
        <is>
          <t>Cafetería Central</t>
        </is>
      </c>
      <c r="B74" s="97" t="inlineStr">
        <is>
          <t>Cafetería</t>
        </is>
      </c>
      <c r="C74" s="97" t="inlineStr">
        <is>
          <t>EMB-005</t>
        </is>
      </c>
      <c r="D74" s="103">
        <f>VLOOKUP(C74,Catálogo!$A$5:$L$51,2,0)</f>
        <v/>
      </c>
      <c r="E74" s="103">
        <f>VLOOKUP(C74,Catálogo!$A$5:$L$51,3,0)</f>
        <v/>
      </c>
      <c r="F74" s="115" t="n">
        <v>8</v>
      </c>
      <c r="G74" s="196" t="n">
        <v>1050</v>
      </c>
    </row>
    <row r="75" ht="15" customHeight="1" s="37">
      <c r="A75" s="97" t="inlineStr">
        <is>
          <t>Marisquería El Puerto</t>
        </is>
      </c>
      <c r="B75" s="97" t="inlineStr">
        <is>
          <t>Restaurante</t>
        </is>
      </c>
      <c r="C75" s="97" t="inlineStr">
        <is>
          <t>EMB-005</t>
        </is>
      </c>
      <c r="D75" s="103">
        <f>VLOOKUP(C75,Catálogo!$A$5:$L$51,2,0)</f>
        <v/>
      </c>
      <c r="E75" s="103">
        <f>VLOOKUP(C75,Catálogo!$A$5:$L$51,3,0)</f>
        <v/>
      </c>
      <c r="F75" s="115" t="n">
        <v>6</v>
      </c>
      <c r="G75" s="196" t="n">
        <v>770</v>
      </c>
    </row>
    <row r="76" ht="15" customHeight="1" s="37">
      <c r="A76" s="97" t="inlineStr">
        <is>
          <t>Hotel Mibani</t>
        </is>
      </c>
      <c r="B76" s="97" t="inlineStr">
        <is>
          <t>Hotel</t>
        </is>
      </c>
      <c r="C76" s="97" t="inlineStr">
        <is>
          <t>EMB-005</t>
        </is>
      </c>
      <c r="D76" s="103">
        <f>VLOOKUP(C76,Catálogo!$A$5:$L$51,2,0)</f>
        <v/>
      </c>
      <c r="E76" s="103">
        <f>VLOOKUP(C76,Catálogo!$A$5:$L$51,3,0)</f>
        <v/>
      </c>
      <c r="F76" s="115" t="n">
        <v>13</v>
      </c>
      <c r="G76" s="196" t="n">
        <v>1700</v>
      </c>
    </row>
    <row r="77" ht="15" customHeight="1" s="37">
      <c r="A77" s="97" t="inlineStr">
        <is>
          <t>Hotel Plaza Sur</t>
        </is>
      </c>
      <c r="B77" s="97" t="inlineStr">
        <is>
          <t>Hotel</t>
        </is>
      </c>
      <c r="C77" s="97" t="inlineStr">
        <is>
          <t>EMB-005</t>
        </is>
      </c>
      <c r="D77" s="103">
        <f>VLOOKUP(C77,Catálogo!$A$5:$L$51,2,0)</f>
        <v/>
      </c>
      <c r="E77" s="103">
        <f>VLOOKUP(C77,Catálogo!$A$5:$L$51,3,0)</f>
        <v/>
      </c>
      <c r="F77" s="115" t="n">
        <v>6</v>
      </c>
      <c r="G77" s="196" t="n">
        <v>730</v>
      </c>
    </row>
    <row r="78" ht="15" customHeight="1" s="37">
      <c r="A78" s="97" t="inlineStr">
        <is>
          <t>Cafetería Central</t>
        </is>
      </c>
      <c r="B78" s="97" t="inlineStr">
        <is>
          <t>Cafetería</t>
        </is>
      </c>
      <c r="C78" s="97" t="inlineStr">
        <is>
          <t>EMB-006</t>
        </is>
      </c>
      <c r="D78" s="103">
        <f>VLOOKUP(C78,Catálogo!$A$5:$L$51,2,0)</f>
        <v/>
      </c>
      <c r="E78" s="103">
        <f>VLOOKUP(C78,Catálogo!$A$5:$L$51,3,0)</f>
        <v/>
      </c>
      <c r="F78" s="115" t="n">
        <v>7</v>
      </c>
      <c r="G78" s="196" t="n">
        <v>1030</v>
      </c>
    </row>
    <row r="79" ht="15" customHeight="1" s="37">
      <c r="A79" s="97" t="inlineStr">
        <is>
          <t>Hotel Plaza Sur</t>
        </is>
      </c>
      <c r="B79" s="97" t="inlineStr">
        <is>
          <t>Hotel</t>
        </is>
      </c>
      <c r="C79" s="97" t="inlineStr">
        <is>
          <t>EMB-006</t>
        </is>
      </c>
      <c r="D79" s="103">
        <f>VLOOKUP(C79,Catálogo!$A$5:$L$51,2,0)</f>
        <v/>
      </c>
      <c r="E79" s="103">
        <f>VLOOKUP(C79,Catálogo!$A$5:$L$51,3,0)</f>
        <v/>
      </c>
      <c r="F79" s="115" t="n">
        <v>11</v>
      </c>
      <c r="G79" s="196" t="n">
        <v>1700</v>
      </c>
    </row>
    <row r="80" ht="15" customHeight="1" s="37">
      <c r="A80" s="97" t="inlineStr">
        <is>
          <t>Restaurante El Fogón</t>
        </is>
      </c>
      <c r="B80" s="97" t="inlineStr">
        <is>
          <t>Restaurante</t>
        </is>
      </c>
      <c r="C80" s="97" t="inlineStr">
        <is>
          <t>EMB-006</t>
        </is>
      </c>
      <c r="D80" s="103">
        <f>VLOOKUP(C80,Catálogo!$A$5:$L$51,2,0)</f>
        <v/>
      </c>
      <c r="E80" s="103">
        <f>VLOOKUP(C80,Catálogo!$A$5:$L$51,3,0)</f>
        <v/>
      </c>
      <c r="F80" s="115" t="n">
        <v>5</v>
      </c>
      <c r="G80" s="196" t="n">
        <v>750</v>
      </c>
    </row>
    <row r="81" ht="15" customHeight="1" s="37">
      <c r="A81" s="97" t="inlineStr">
        <is>
          <t>Cocina Económica Lupita</t>
        </is>
      </c>
      <c r="B81" s="97" t="inlineStr">
        <is>
          <t>Fonda</t>
        </is>
      </c>
      <c r="C81" s="97" t="inlineStr">
        <is>
          <t>EMB-007</t>
        </is>
      </c>
      <c r="D81" s="103">
        <f>VLOOKUP(C81,Catálogo!$A$5:$L$51,2,0)</f>
        <v/>
      </c>
      <c r="E81" s="103">
        <f>VLOOKUP(C81,Catálogo!$A$5:$L$51,3,0)</f>
        <v/>
      </c>
      <c r="F81" s="115" t="n">
        <v>6</v>
      </c>
      <c r="G81" s="196" t="n">
        <v>850</v>
      </c>
    </row>
    <row r="82" ht="15" customHeight="1" s="37">
      <c r="A82" s="97" t="inlineStr">
        <is>
          <t>Marisquería El Puerto</t>
        </is>
      </c>
      <c r="B82" s="97" t="inlineStr">
        <is>
          <t>Restaurante</t>
        </is>
      </c>
      <c r="C82" s="97" t="inlineStr">
        <is>
          <t>EMB-007</t>
        </is>
      </c>
      <c r="D82" s="103">
        <f>VLOOKUP(C82,Catálogo!$A$5:$L$51,2,0)</f>
        <v/>
      </c>
      <c r="E82" s="103">
        <f>VLOOKUP(C82,Catálogo!$A$5:$L$51,3,0)</f>
        <v/>
      </c>
      <c r="F82" s="115" t="n">
        <v>12</v>
      </c>
      <c r="G82" s="196" t="n">
        <v>1860</v>
      </c>
    </row>
    <row r="83" ht="15" customHeight="1" s="37">
      <c r="A83" s="97" t="inlineStr">
        <is>
          <t>Taquería La Once</t>
        </is>
      </c>
      <c r="B83" s="97" t="inlineStr">
        <is>
          <t>Restaurante</t>
        </is>
      </c>
      <c r="C83" s="97" t="inlineStr">
        <is>
          <t>EMB-007</t>
        </is>
      </c>
      <c r="D83" s="103">
        <f>VLOOKUP(C83,Catálogo!$A$5:$L$51,2,0)</f>
        <v/>
      </c>
      <c r="E83" s="103">
        <f>VLOOKUP(C83,Catálogo!$A$5:$L$51,3,0)</f>
        <v/>
      </c>
      <c r="F83" s="115" t="n">
        <v>6</v>
      </c>
      <c r="G83" s="196" t="n">
        <v>850</v>
      </c>
    </row>
    <row r="84" ht="15" customHeight="1" s="37">
      <c r="A84" s="97" t="inlineStr">
        <is>
          <t>Abarrotes Don Beto</t>
        </is>
      </c>
      <c r="B84" s="97" t="inlineStr">
        <is>
          <t>Retail</t>
        </is>
      </c>
      <c r="C84" s="97" t="inlineStr">
        <is>
          <t>EMB-007</t>
        </is>
      </c>
      <c r="D84" s="103">
        <f>VLOOKUP(C84,Catálogo!$A$5:$L$51,2,0)</f>
        <v/>
      </c>
      <c r="E84" s="103">
        <f>VLOOKUP(C84,Catálogo!$A$5:$L$51,3,0)</f>
        <v/>
      </c>
      <c r="F84" s="115" t="n">
        <v>10</v>
      </c>
      <c r="G84" s="196" t="n">
        <v>1450</v>
      </c>
    </row>
    <row r="85" ht="15" customHeight="1" s="37">
      <c r="A85" s="97" t="inlineStr">
        <is>
          <t>Hotel Plaza Sur</t>
        </is>
      </c>
      <c r="B85" s="97" t="inlineStr">
        <is>
          <t>Hotel</t>
        </is>
      </c>
      <c r="C85" s="97" t="inlineStr">
        <is>
          <t>EMB-007</t>
        </is>
      </c>
      <c r="D85" s="103">
        <f>VLOOKUP(C85,Catálogo!$A$5:$L$51,2,0)</f>
        <v/>
      </c>
      <c r="E85" s="103">
        <f>VLOOKUP(C85,Catálogo!$A$5:$L$51,3,0)</f>
        <v/>
      </c>
      <c r="F85" s="115" t="n">
        <v>8</v>
      </c>
      <c r="G85" s="196" t="n">
        <v>1180</v>
      </c>
    </row>
    <row r="86" ht="15" customHeight="1" s="37">
      <c r="A86" s="97" t="inlineStr">
        <is>
          <t>Cocina Económica Lupita</t>
        </is>
      </c>
      <c r="B86" s="97" t="inlineStr">
        <is>
          <t>Fonda</t>
        </is>
      </c>
      <c r="C86" s="97" t="inlineStr">
        <is>
          <t>EMB-008</t>
        </is>
      </c>
      <c r="D86" s="103">
        <f>VLOOKUP(C86,Catálogo!$A$5:$L$51,2,0)</f>
        <v/>
      </c>
      <c r="E86" s="103">
        <f>VLOOKUP(C86,Catálogo!$A$5:$L$51,3,0)</f>
        <v/>
      </c>
      <c r="F86" s="115" t="n">
        <v>30</v>
      </c>
      <c r="G86" s="196" t="n">
        <v>2040</v>
      </c>
    </row>
    <row r="87" ht="15" customHeight="1" s="37">
      <c r="A87" s="97" t="inlineStr">
        <is>
          <t>Hotel Mibani</t>
        </is>
      </c>
      <c r="B87" s="97" t="inlineStr">
        <is>
          <t>Hotel</t>
        </is>
      </c>
      <c r="C87" s="97" t="inlineStr">
        <is>
          <t>EMB-008</t>
        </is>
      </c>
      <c r="D87" s="103">
        <f>VLOOKUP(C87,Catálogo!$A$5:$L$51,2,0)</f>
        <v/>
      </c>
      <c r="E87" s="103">
        <f>VLOOKUP(C87,Catálogo!$A$5:$L$51,3,0)</f>
        <v/>
      </c>
      <c r="F87" s="115" t="n">
        <v>26</v>
      </c>
      <c r="G87" s="196" t="n">
        <v>1770</v>
      </c>
    </row>
    <row r="88" ht="15" customHeight="1" s="37">
      <c r="A88" s="97" t="inlineStr">
        <is>
          <t>Taquería La Once</t>
        </is>
      </c>
      <c r="B88" s="97" t="inlineStr">
        <is>
          <t>Restaurante</t>
        </is>
      </c>
      <c r="C88" s="97" t="inlineStr">
        <is>
          <t>EMB-008</t>
        </is>
      </c>
      <c r="D88" s="103">
        <f>VLOOKUP(C88,Catálogo!$A$5:$L$51,2,0)</f>
        <v/>
      </c>
      <c r="E88" s="103">
        <f>VLOOKUP(C88,Catálogo!$A$5:$L$51,3,0)</f>
        <v/>
      </c>
      <c r="F88" s="115" t="n">
        <v>29</v>
      </c>
      <c r="G88" s="196" t="n">
        <v>1970</v>
      </c>
    </row>
    <row r="89" ht="15" customHeight="1" s="37">
      <c r="A89" s="97" t="inlineStr">
        <is>
          <t>Abarrotes Don Beto</t>
        </is>
      </c>
      <c r="B89" s="97" t="inlineStr">
        <is>
          <t>Retail</t>
        </is>
      </c>
      <c r="C89" s="97" t="inlineStr">
        <is>
          <t>EMB-008</t>
        </is>
      </c>
      <c r="D89" s="103">
        <f>VLOOKUP(C89,Catálogo!$A$5:$L$51,2,0)</f>
        <v/>
      </c>
      <c r="E89" s="103">
        <f>VLOOKUP(C89,Catálogo!$A$5:$L$51,3,0)</f>
        <v/>
      </c>
      <c r="F89" s="115" t="n">
        <v>19</v>
      </c>
      <c r="G89" s="196" t="n">
        <v>1310</v>
      </c>
    </row>
    <row r="90" ht="15" customHeight="1" s="37">
      <c r="A90" s="97" t="inlineStr">
        <is>
          <t>Hotel Plaza Sur</t>
        </is>
      </c>
      <c r="B90" s="97" t="inlineStr">
        <is>
          <t>Hotel</t>
        </is>
      </c>
      <c r="C90" s="97" t="inlineStr">
        <is>
          <t>EMB-008</t>
        </is>
      </c>
      <c r="D90" s="103">
        <f>VLOOKUP(C90,Catálogo!$A$5:$L$51,2,0)</f>
        <v/>
      </c>
      <c r="E90" s="103">
        <f>VLOOKUP(C90,Catálogo!$A$5:$L$51,3,0)</f>
        <v/>
      </c>
      <c r="F90" s="115" t="n">
        <v>14</v>
      </c>
      <c r="G90" s="196" t="n">
        <v>980</v>
      </c>
    </row>
    <row r="91" ht="15" customHeight="1" s="37">
      <c r="A91" s="97" t="inlineStr">
        <is>
          <t>Marisquería El Puerto</t>
        </is>
      </c>
      <c r="B91" s="97" t="inlineStr">
        <is>
          <t>Restaurante</t>
        </is>
      </c>
      <c r="C91" s="97" t="inlineStr">
        <is>
          <t>EMB-008</t>
        </is>
      </c>
      <c r="D91" s="103">
        <f>VLOOKUP(C91,Catálogo!$A$5:$L$51,2,0)</f>
        <v/>
      </c>
      <c r="E91" s="103">
        <f>VLOOKUP(C91,Catálogo!$A$5:$L$51,3,0)</f>
        <v/>
      </c>
      <c r="F91" s="115" t="n">
        <v>28</v>
      </c>
      <c r="G91" s="196" t="n">
        <v>1890</v>
      </c>
    </row>
    <row r="92" ht="15" customHeight="1" s="37">
      <c r="A92" s="97" t="inlineStr">
        <is>
          <t>Hotel Plaza Sur</t>
        </is>
      </c>
      <c r="B92" s="97" t="inlineStr">
        <is>
          <t>Hotel</t>
        </is>
      </c>
      <c r="C92" s="97" t="inlineStr">
        <is>
          <t>EMB-009</t>
        </is>
      </c>
      <c r="D92" s="103">
        <f>VLOOKUP(C92,Catálogo!$A$5:$L$51,2,0)</f>
        <v/>
      </c>
      <c r="E92" s="103">
        <f>VLOOKUP(C92,Catálogo!$A$5:$L$51,3,0)</f>
        <v/>
      </c>
      <c r="F92" s="115" t="n">
        <v>54</v>
      </c>
      <c r="G92" s="196" t="n">
        <v>5290</v>
      </c>
    </row>
    <row r="93" ht="15" customHeight="1" s="37">
      <c r="A93" s="97" t="inlineStr">
        <is>
          <t>Marisquería El Puerto</t>
        </is>
      </c>
      <c r="B93" s="97" t="inlineStr">
        <is>
          <t>Restaurante</t>
        </is>
      </c>
      <c r="C93" s="97" t="inlineStr">
        <is>
          <t>EMB-009</t>
        </is>
      </c>
      <c r="D93" s="103">
        <f>VLOOKUP(C93,Catálogo!$A$5:$L$51,2,0)</f>
        <v/>
      </c>
      <c r="E93" s="103">
        <f>VLOOKUP(C93,Catálogo!$A$5:$L$51,3,0)</f>
        <v/>
      </c>
      <c r="F93" s="115" t="n">
        <v>38</v>
      </c>
      <c r="G93" s="196" t="n">
        <v>3740</v>
      </c>
    </row>
    <row r="94" ht="15" customHeight="1" s="37">
      <c r="A94" s="97" t="inlineStr">
        <is>
          <t>Marisquería El Puerto</t>
        </is>
      </c>
      <c r="B94" s="97" t="inlineStr">
        <is>
          <t>Restaurante</t>
        </is>
      </c>
      <c r="C94" s="97" t="inlineStr">
        <is>
          <t>EMB-010</t>
        </is>
      </c>
      <c r="D94" s="103">
        <f>VLOOKUP(C94,Catálogo!$A$5:$L$51,2,0)</f>
        <v/>
      </c>
      <c r="E94" s="103">
        <f>VLOOKUP(C94,Catálogo!$A$5:$L$51,3,0)</f>
        <v/>
      </c>
      <c r="F94" s="115" t="n">
        <v>15</v>
      </c>
      <c r="G94" s="196" t="n">
        <v>1280</v>
      </c>
    </row>
    <row r="95" ht="15" customHeight="1" s="37">
      <c r="A95" s="97" t="inlineStr">
        <is>
          <t>Hotel Mibani</t>
        </is>
      </c>
      <c r="B95" s="97" t="inlineStr">
        <is>
          <t>Hotel</t>
        </is>
      </c>
      <c r="C95" s="97" t="inlineStr">
        <is>
          <t>EMB-010</t>
        </is>
      </c>
      <c r="D95" s="103">
        <f>VLOOKUP(C95,Catálogo!$A$5:$L$51,2,0)</f>
        <v/>
      </c>
      <c r="E95" s="103">
        <f>VLOOKUP(C95,Catálogo!$A$5:$L$51,3,0)</f>
        <v/>
      </c>
      <c r="F95" s="115" t="n">
        <v>14</v>
      </c>
      <c r="G95" s="196" t="n">
        <v>1140</v>
      </c>
    </row>
    <row r="96" ht="15" customHeight="1" s="37">
      <c r="A96" s="97" t="inlineStr">
        <is>
          <t>Abarrotes Don Beto</t>
        </is>
      </c>
      <c r="B96" s="97" t="inlineStr">
        <is>
          <t>Retail</t>
        </is>
      </c>
      <c r="C96" s="97" t="inlineStr">
        <is>
          <t>EMB-010</t>
        </is>
      </c>
      <c r="D96" s="103">
        <f>VLOOKUP(C96,Catálogo!$A$5:$L$51,2,0)</f>
        <v/>
      </c>
      <c r="E96" s="103">
        <f>VLOOKUP(C96,Catálogo!$A$5:$L$51,3,0)</f>
        <v/>
      </c>
      <c r="F96" s="115" t="n">
        <v>10</v>
      </c>
      <c r="G96" s="196" t="n">
        <v>850</v>
      </c>
    </row>
    <row r="97" ht="15" customHeight="1" s="37">
      <c r="A97" s="97" t="inlineStr">
        <is>
          <t>Cocina Económica Lupita</t>
        </is>
      </c>
      <c r="B97" s="97" t="inlineStr">
        <is>
          <t>Fonda</t>
        </is>
      </c>
      <c r="C97" s="97" t="inlineStr">
        <is>
          <t>EMB-010</t>
        </is>
      </c>
      <c r="D97" s="103">
        <f>VLOOKUP(C97,Catálogo!$A$5:$L$51,2,0)</f>
        <v/>
      </c>
      <c r="E97" s="103">
        <f>VLOOKUP(C97,Catálogo!$A$5:$L$51,3,0)</f>
        <v/>
      </c>
      <c r="F97" s="115" t="n">
        <v>13</v>
      </c>
      <c r="G97" s="196" t="n">
        <v>1060</v>
      </c>
    </row>
    <row r="98" ht="15" customHeight="1" s="37">
      <c r="A98" s="97" t="inlineStr">
        <is>
          <t>Hotel Plaza Sur</t>
        </is>
      </c>
      <c r="B98" s="97" t="inlineStr">
        <is>
          <t>Hotel</t>
        </is>
      </c>
      <c r="C98" s="97" t="inlineStr">
        <is>
          <t>EMB-010</t>
        </is>
      </c>
      <c r="D98" s="103">
        <f>VLOOKUP(C98,Catálogo!$A$5:$L$51,2,0)</f>
        <v/>
      </c>
      <c r="E98" s="103">
        <f>VLOOKUP(C98,Catálogo!$A$5:$L$51,3,0)</f>
        <v/>
      </c>
      <c r="F98" s="115" t="n">
        <v>23</v>
      </c>
      <c r="G98" s="196" t="n">
        <v>1880</v>
      </c>
    </row>
    <row r="99" ht="15" customHeight="1" s="37">
      <c r="A99" s="97" t="inlineStr">
        <is>
          <t>Taquería La Once</t>
        </is>
      </c>
      <c r="B99" s="97" t="inlineStr">
        <is>
          <t>Restaurante</t>
        </is>
      </c>
      <c r="C99" s="97" t="inlineStr">
        <is>
          <t>EMB-011</t>
        </is>
      </c>
      <c r="D99" s="103">
        <f>VLOOKUP(C99,Catálogo!$A$5:$L$51,2,0)</f>
        <v/>
      </c>
      <c r="E99" s="103">
        <f>VLOOKUP(C99,Catálogo!$A$5:$L$51,3,0)</f>
        <v/>
      </c>
      <c r="F99" s="115" t="n">
        <v>7</v>
      </c>
      <c r="G99" s="196" t="n">
        <v>1060</v>
      </c>
    </row>
    <row r="100" ht="15" customHeight="1" s="37">
      <c r="A100" s="97" t="inlineStr">
        <is>
          <t>Cafetería Central</t>
        </is>
      </c>
      <c r="B100" s="97" t="inlineStr">
        <is>
          <t>Cafetería</t>
        </is>
      </c>
      <c r="C100" s="97" t="inlineStr">
        <is>
          <t>EMB-011</t>
        </is>
      </c>
      <c r="D100" s="103">
        <f>VLOOKUP(C100,Catálogo!$A$5:$L$51,2,0)</f>
        <v/>
      </c>
      <c r="E100" s="103">
        <f>VLOOKUP(C100,Catálogo!$A$5:$L$51,3,0)</f>
        <v/>
      </c>
      <c r="F100" s="115" t="n">
        <v>7</v>
      </c>
      <c r="G100" s="196" t="n">
        <v>1150</v>
      </c>
    </row>
    <row r="101" ht="15" customHeight="1" s="37">
      <c r="A101" s="97" t="inlineStr">
        <is>
          <t>Hotel Plaza Sur</t>
        </is>
      </c>
      <c r="B101" s="97" t="inlineStr">
        <is>
          <t>Hotel</t>
        </is>
      </c>
      <c r="C101" s="97" t="inlineStr">
        <is>
          <t>EMB-011</t>
        </is>
      </c>
      <c r="D101" s="103">
        <f>VLOOKUP(C101,Catálogo!$A$5:$L$51,2,0)</f>
        <v/>
      </c>
      <c r="E101" s="103">
        <f>VLOOKUP(C101,Catálogo!$A$5:$L$51,3,0)</f>
        <v/>
      </c>
      <c r="F101" s="115" t="n">
        <v>6</v>
      </c>
      <c r="G101" s="196" t="n">
        <v>890</v>
      </c>
    </row>
    <row r="102" ht="15" customHeight="1" s="37">
      <c r="A102" s="97" t="inlineStr">
        <is>
          <t>Cafetería Central</t>
        </is>
      </c>
      <c r="B102" s="97" t="inlineStr">
        <is>
          <t>Cafetería</t>
        </is>
      </c>
      <c r="C102" s="97" t="inlineStr">
        <is>
          <t>EMB-012</t>
        </is>
      </c>
      <c r="D102" s="103">
        <f>VLOOKUP(C102,Catálogo!$A$5:$L$51,2,0)</f>
        <v/>
      </c>
      <c r="E102" s="103">
        <f>VLOOKUP(C102,Catálogo!$A$5:$L$51,3,0)</f>
        <v/>
      </c>
      <c r="F102" s="115" t="n">
        <v>26</v>
      </c>
      <c r="G102" s="196" t="n">
        <v>3760</v>
      </c>
    </row>
    <row r="103" ht="15" customHeight="1" s="37">
      <c r="A103" s="97" t="inlineStr">
        <is>
          <t>Marisquería El Puerto</t>
        </is>
      </c>
      <c r="B103" s="97" t="inlineStr">
        <is>
          <t>Restaurante</t>
        </is>
      </c>
      <c r="C103" s="97" t="inlineStr">
        <is>
          <t>ABA-001</t>
        </is>
      </c>
      <c r="D103" s="103">
        <f>VLOOKUP(C103,Catálogo!$A$5:$L$51,2,0)</f>
        <v/>
      </c>
      <c r="E103" s="103">
        <f>VLOOKUP(C103,Catálogo!$A$5:$L$51,3,0)</f>
        <v/>
      </c>
      <c r="F103" s="115" t="n">
        <v>7</v>
      </c>
      <c r="G103" s="196" t="n">
        <v>270</v>
      </c>
    </row>
    <row r="104" ht="15" customHeight="1" s="37">
      <c r="A104" s="97" t="inlineStr">
        <is>
          <t>Cocina Económica Lupita</t>
        </is>
      </c>
      <c r="B104" s="97" t="inlineStr">
        <is>
          <t>Fonda</t>
        </is>
      </c>
      <c r="C104" s="97" t="inlineStr">
        <is>
          <t>ABA-001</t>
        </is>
      </c>
      <c r="D104" s="103">
        <f>VLOOKUP(C104,Catálogo!$A$5:$L$51,2,0)</f>
        <v/>
      </c>
      <c r="E104" s="103">
        <f>VLOOKUP(C104,Catálogo!$A$5:$L$51,3,0)</f>
        <v/>
      </c>
      <c r="F104" s="115" t="n">
        <v>7</v>
      </c>
      <c r="G104" s="196" t="n">
        <v>260</v>
      </c>
    </row>
    <row r="105" ht="15" customHeight="1" s="37">
      <c r="A105" s="97" t="inlineStr">
        <is>
          <t>Restaurante El Fogón</t>
        </is>
      </c>
      <c r="B105" s="97" t="inlineStr">
        <is>
          <t>Restaurante</t>
        </is>
      </c>
      <c r="C105" s="97" t="inlineStr">
        <is>
          <t>ABA-001</t>
        </is>
      </c>
      <c r="D105" s="103">
        <f>VLOOKUP(C105,Catálogo!$A$5:$L$51,2,0)</f>
        <v/>
      </c>
      <c r="E105" s="103">
        <f>VLOOKUP(C105,Catálogo!$A$5:$L$51,3,0)</f>
        <v/>
      </c>
      <c r="F105" s="115" t="n">
        <v>5</v>
      </c>
      <c r="G105" s="196" t="n">
        <v>180</v>
      </c>
    </row>
    <row r="106" ht="15" customHeight="1" s="37">
      <c r="A106" s="97" t="inlineStr">
        <is>
          <t>Cafetería Central</t>
        </is>
      </c>
      <c r="B106" s="97" t="inlineStr">
        <is>
          <t>Cafetería</t>
        </is>
      </c>
      <c r="C106" s="97" t="inlineStr">
        <is>
          <t>ABA-001</t>
        </is>
      </c>
      <c r="D106" s="103">
        <f>VLOOKUP(C106,Catálogo!$A$5:$L$51,2,0)</f>
        <v/>
      </c>
      <c r="E106" s="103">
        <f>VLOOKUP(C106,Catálogo!$A$5:$L$51,3,0)</f>
        <v/>
      </c>
      <c r="F106" s="115" t="n">
        <v>7</v>
      </c>
      <c r="G106" s="196" t="n">
        <v>260</v>
      </c>
    </row>
    <row r="107" ht="15" customHeight="1" s="37">
      <c r="A107" s="97" t="inlineStr">
        <is>
          <t>Cocina Económica Lupita</t>
        </is>
      </c>
      <c r="B107" s="97" t="inlineStr">
        <is>
          <t>Fonda</t>
        </is>
      </c>
      <c r="C107" s="97" t="inlineStr">
        <is>
          <t>ABA-002</t>
        </is>
      </c>
      <c r="D107" s="103">
        <f>VLOOKUP(C107,Catálogo!$A$5:$L$51,2,0)</f>
        <v/>
      </c>
      <c r="E107" s="103">
        <f>VLOOKUP(C107,Catálogo!$A$5:$L$51,3,0)</f>
        <v/>
      </c>
      <c r="F107" s="115" t="n">
        <v>5</v>
      </c>
      <c r="G107" s="196" t="n">
        <v>230</v>
      </c>
    </row>
    <row r="108" ht="15" customHeight="1" s="37">
      <c r="A108" s="97" t="inlineStr">
        <is>
          <t>Abarrotes Don Beto</t>
        </is>
      </c>
      <c r="B108" s="97" t="inlineStr">
        <is>
          <t>Retail</t>
        </is>
      </c>
      <c r="C108" s="97" t="inlineStr">
        <is>
          <t>ABA-002</t>
        </is>
      </c>
      <c r="D108" s="103">
        <f>VLOOKUP(C108,Catálogo!$A$5:$L$51,2,0)</f>
        <v/>
      </c>
      <c r="E108" s="103">
        <f>VLOOKUP(C108,Catálogo!$A$5:$L$51,3,0)</f>
        <v/>
      </c>
      <c r="F108" s="115" t="n">
        <v>8</v>
      </c>
      <c r="G108" s="196" t="n">
        <v>370</v>
      </c>
    </row>
    <row r="109" ht="15" customHeight="1" s="37">
      <c r="A109" s="97" t="inlineStr">
        <is>
          <t>Taquería La Once</t>
        </is>
      </c>
      <c r="B109" s="97" t="inlineStr">
        <is>
          <t>Restaurante</t>
        </is>
      </c>
      <c r="C109" s="97" t="inlineStr">
        <is>
          <t>ABA-002</t>
        </is>
      </c>
      <c r="D109" s="103">
        <f>VLOOKUP(C109,Catálogo!$A$5:$L$51,2,0)</f>
        <v/>
      </c>
      <c r="E109" s="103">
        <f>VLOOKUP(C109,Catálogo!$A$5:$L$51,3,0)</f>
        <v/>
      </c>
      <c r="F109" s="115" t="n">
        <v>6</v>
      </c>
      <c r="G109" s="196" t="n">
        <v>280</v>
      </c>
    </row>
    <row r="110" ht="15" customHeight="1" s="37">
      <c r="A110" s="97" t="inlineStr">
        <is>
          <t>Hotel Plaza Sur</t>
        </is>
      </c>
      <c r="B110" s="97" t="inlineStr">
        <is>
          <t>Hotel</t>
        </is>
      </c>
      <c r="C110" s="97" t="inlineStr">
        <is>
          <t>ABA-002</t>
        </is>
      </c>
      <c r="D110" s="103">
        <f>VLOOKUP(C110,Catálogo!$A$5:$L$51,2,0)</f>
        <v/>
      </c>
      <c r="E110" s="103">
        <f>VLOOKUP(C110,Catálogo!$A$5:$L$51,3,0)</f>
        <v/>
      </c>
      <c r="F110" s="115" t="n">
        <v>7</v>
      </c>
      <c r="G110" s="196" t="n">
        <v>320</v>
      </c>
    </row>
    <row r="111" ht="15" customHeight="1" s="37">
      <c r="A111" s="97" t="inlineStr">
        <is>
          <t>Cafetería Central</t>
        </is>
      </c>
      <c r="B111" s="97" t="inlineStr">
        <is>
          <t>Cafetería</t>
        </is>
      </c>
      <c r="C111" s="97" t="inlineStr">
        <is>
          <t>ABA-003</t>
        </is>
      </c>
      <c r="D111" s="103">
        <f>VLOOKUP(C111,Catálogo!$A$5:$L$51,2,0)</f>
        <v/>
      </c>
      <c r="E111" s="103">
        <f>VLOOKUP(C111,Catálogo!$A$5:$L$51,3,0)</f>
        <v/>
      </c>
      <c r="F111" s="115" t="n">
        <v>14</v>
      </c>
      <c r="G111" s="196" t="n">
        <v>530</v>
      </c>
    </row>
    <row r="112" ht="15" customHeight="1" s="37">
      <c r="A112" s="97" t="inlineStr">
        <is>
          <t>Hotel Mibani</t>
        </is>
      </c>
      <c r="B112" s="97" t="inlineStr">
        <is>
          <t>Hotel</t>
        </is>
      </c>
      <c r="C112" s="97" t="inlineStr">
        <is>
          <t>ABA-003</t>
        </is>
      </c>
      <c r="D112" s="103">
        <f>VLOOKUP(C112,Catálogo!$A$5:$L$51,2,0)</f>
        <v/>
      </c>
      <c r="E112" s="103">
        <f>VLOOKUP(C112,Catálogo!$A$5:$L$51,3,0)</f>
        <v/>
      </c>
      <c r="F112" s="115" t="n">
        <v>10</v>
      </c>
      <c r="G112" s="196" t="n">
        <v>390</v>
      </c>
    </row>
    <row r="113" ht="15" customHeight="1" s="37">
      <c r="A113" s="97" t="inlineStr">
        <is>
          <t>Taquería La Once</t>
        </is>
      </c>
      <c r="B113" s="97" t="inlineStr">
        <is>
          <t>Restaurante</t>
        </is>
      </c>
      <c r="C113" s="97" t="inlineStr">
        <is>
          <t>ABA-003</t>
        </is>
      </c>
      <c r="D113" s="103">
        <f>VLOOKUP(C113,Catálogo!$A$5:$L$51,2,0)</f>
        <v/>
      </c>
      <c r="E113" s="103">
        <f>VLOOKUP(C113,Catálogo!$A$5:$L$51,3,0)</f>
        <v/>
      </c>
      <c r="F113" s="115" t="n">
        <v>5</v>
      </c>
      <c r="G113" s="196" t="n">
        <v>200</v>
      </c>
    </row>
    <row r="114" ht="15" customHeight="1" s="37">
      <c r="A114" s="97" t="inlineStr">
        <is>
          <t>Abarrotes Don Beto</t>
        </is>
      </c>
      <c r="B114" s="97" t="inlineStr">
        <is>
          <t>Retail</t>
        </is>
      </c>
      <c r="C114" s="97" t="inlineStr">
        <is>
          <t>ABA-003</t>
        </is>
      </c>
      <c r="D114" s="103">
        <f>VLOOKUP(C114,Catálogo!$A$5:$L$51,2,0)</f>
        <v/>
      </c>
      <c r="E114" s="103">
        <f>VLOOKUP(C114,Catálogo!$A$5:$L$51,3,0)</f>
        <v/>
      </c>
      <c r="F114" s="115" t="n">
        <v>13</v>
      </c>
      <c r="G114" s="196" t="n">
        <v>500</v>
      </c>
    </row>
    <row r="115" ht="15" customHeight="1" s="37">
      <c r="A115" s="97" t="inlineStr">
        <is>
          <t>Cocina Económica Lupita</t>
        </is>
      </c>
      <c r="B115" s="97" t="inlineStr">
        <is>
          <t>Fonda</t>
        </is>
      </c>
      <c r="C115" s="97" t="inlineStr">
        <is>
          <t>ABA-003</t>
        </is>
      </c>
      <c r="D115" s="103">
        <f>VLOOKUP(C115,Catálogo!$A$5:$L$51,2,0)</f>
        <v/>
      </c>
      <c r="E115" s="103">
        <f>VLOOKUP(C115,Catálogo!$A$5:$L$51,3,0)</f>
        <v/>
      </c>
      <c r="F115" s="115" t="n">
        <v>12</v>
      </c>
      <c r="G115" s="196" t="n">
        <v>450</v>
      </c>
    </row>
    <row r="116" ht="15" customHeight="1" s="37">
      <c r="A116" s="97" t="inlineStr">
        <is>
          <t>Marisquería El Puerto</t>
        </is>
      </c>
      <c r="B116" s="97" t="inlineStr">
        <is>
          <t>Restaurante</t>
        </is>
      </c>
      <c r="C116" s="97" t="inlineStr">
        <is>
          <t>ABA-003</t>
        </is>
      </c>
      <c r="D116" s="103">
        <f>VLOOKUP(C116,Catálogo!$A$5:$L$51,2,0)</f>
        <v/>
      </c>
      <c r="E116" s="103">
        <f>VLOOKUP(C116,Catálogo!$A$5:$L$51,3,0)</f>
        <v/>
      </c>
      <c r="F116" s="115" t="n">
        <v>12</v>
      </c>
      <c r="G116" s="196" t="n">
        <v>460</v>
      </c>
    </row>
    <row r="117" ht="15" customHeight="1" s="37">
      <c r="A117" s="97" t="inlineStr">
        <is>
          <t>Hotel Plaza Sur</t>
        </is>
      </c>
      <c r="B117" s="97" t="inlineStr">
        <is>
          <t>Hotel</t>
        </is>
      </c>
      <c r="C117" s="97" t="inlineStr">
        <is>
          <t>ABA-004</t>
        </is>
      </c>
      <c r="D117" s="103">
        <f>VLOOKUP(C117,Catálogo!$A$5:$L$51,2,0)</f>
        <v/>
      </c>
      <c r="E117" s="103">
        <f>VLOOKUP(C117,Catálogo!$A$5:$L$51,3,0)</f>
        <v/>
      </c>
      <c r="F117" s="115" t="n">
        <v>13</v>
      </c>
      <c r="G117" s="196" t="n">
        <v>850</v>
      </c>
    </row>
    <row r="118" ht="15" customHeight="1" s="37">
      <c r="A118" s="97" t="inlineStr">
        <is>
          <t>Restaurante El Fogón</t>
        </is>
      </c>
      <c r="B118" s="97" t="inlineStr">
        <is>
          <t>Restaurante</t>
        </is>
      </c>
      <c r="C118" s="97" t="inlineStr">
        <is>
          <t>ABA-004</t>
        </is>
      </c>
      <c r="D118" s="103">
        <f>VLOOKUP(C118,Catálogo!$A$5:$L$51,2,0)</f>
        <v/>
      </c>
      <c r="E118" s="103">
        <f>VLOOKUP(C118,Catálogo!$A$5:$L$51,3,0)</f>
        <v/>
      </c>
      <c r="F118" s="115" t="n">
        <v>10</v>
      </c>
      <c r="G118" s="196" t="n">
        <v>670</v>
      </c>
    </row>
    <row r="119" ht="15" customHeight="1" s="37">
      <c r="A119" s="97" t="inlineStr">
        <is>
          <t>Hotel Mibani</t>
        </is>
      </c>
      <c r="B119" s="97" t="inlineStr">
        <is>
          <t>Hotel</t>
        </is>
      </c>
      <c r="C119" s="97" t="inlineStr">
        <is>
          <t>ABA-004</t>
        </is>
      </c>
      <c r="D119" s="103">
        <f>VLOOKUP(C119,Catálogo!$A$5:$L$51,2,0)</f>
        <v/>
      </c>
      <c r="E119" s="103">
        <f>VLOOKUP(C119,Catálogo!$A$5:$L$51,3,0)</f>
        <v/>
      </c>
      <c r="F119" s="115" t="n">
        <v>11</v>
      </c>
      <c r="G119" s="196" t="n">
        <v>740</v>
      </c>
    </row>
    <row r="120" ht="15" customHeight="1" s="37">
      <c r="A120" s="97" t="inlineStr">
        <is>
          <t>Hotel Mibani</t>
        </is>
      </c>
      <c r="B120" s="97" t="inlineStr">
        <is>
          <t>Hotel</t>
        </is>
      </c>
      <c r="C120" s="97" t="inlineStr">
        <is>
          <t>ABA-005</t>
        </is>
      </c>
      <c r="D120" s="103">
        <f>VLOOKUP(C120,Catálogo!$A$5:$L$51,2,0)</f>
        <v/>
      </c>
      <c r="E120" s="103">
        <f>VLOOKUP(C120,Catálogo!$A$5:$L$51,3,0)</f>
        <v/>
      </c>
      <c r="F120" s="115" t="n">
        <v>19</v>
      </c>
      <c r="G120" s="196" t="n">
        <v>620</v>
      </c>
    </row>
    <row r="121" ht="15" customHeight="1" s="37">
      <c r="A121" s="97" t="inlineStr">
        <is>
          <t>Cafetería Central</t>
        </is>
      </c>
      <c r="B121" s="97" t="inlineStr">
        <is>
          <t>Cafetería</t>
        </is>
      </c>
      <c r="C121" s="97" t="inlineStr">
        <is>
          <t>ABA-005</t>
        </is>
      </c>
      <c r="D121" s="103">
        <f>VLOOKUP(C121,Catálogo!$A$5:$L$51,2,0)</f>
        <v/>
      </c>
      <c r="E121" s="103">
        <f>VLOOKUP(C121,Catálogo!$A$5:$L$51,3,0)</f>
        <v/>
      </c>
      <c r="F121" s="115" t="n">
        <v>35</v>
      </c>
      <c r="G121" s="196" t="n">
        <v>1150</v>
      </c>
    </row>
    <row r="122" ht="15" customHeight="1" s="37">
      <c r="A122" s="97" t="inlineStr">
        <is>
          <t>Hotel Plaza Sur</t>
        </is>
      </c>
      <c r="B122" s="97" t="inlineStr">
        <is>
          <t>Hotel</t>
        </is>
      </c>
      <c r="C122" s="97" t="inlineStr">
        <is>
          <t>ABA-005</t>
        </is>
      </c>
      <c r="D122" s="103">
        <f>VLOOKUP(C122,Catálogo!$A$5:$L$51,2,0)</f>
        <v/>
      </c>
      <c r="E122" s="103">
        <f>VLOOKUP(C122,Catálogo!$A$5:$L$51,3,0)</f>
        <v/>
      </c>
      <c r="F122" s="115" t="n">
        <v>41</v>
      </c>
      <c r="G122" s="196" t="n">
        <v>1340</v>
      </c>
    </row>
    <row r="123" ht="15" customHeight="1" s="37">
      <c r="A123" s="97" t="inlineStr">
        <is>
          <t>Hotel Plaza Sur</t>
        </is>
      </c>
      <c r="B123" s="97" t="inlineStr">
        <is>
          <t>Hotel</t>
        </is>
      </c>
      <c r="C123" s="97" t="inlineStr">
        <is>
          <t>ABA-006</t>
        </is>
      </c>
      <c r="D123" s="103">
        <f>VLOOKUP(C123,Catálogo!$A$5:$L$51,2,0)</f>
        <v/>
      </c>
      <c r="E123" s="103">
        <f>VLOOKUP(C123,Catálogo!$A$5:$L$51,3,0)</f>
        <v/>
      </c>
      <c r="F123" s="115" t="n">
        <v>16</v>
      </c>
      <c r="G123" s="196" t="n">
        <v>1160</v>
      </c>
    </row>
    <row r="124" ht="15" customHeight="1" s="37">
      <c r="A124" s="97" t="inlineStr">
        <is>
          <t>Hotel Mibani</t>
        </is>
      </c>
      <c r="B124" s="97" t="inlineStr">
        <is>
          <t>Hotel</t>
        </is>
      </c>
      <c r="C124" s="97" t="inlineStr">
        <is>
          <t>ABA-006</t>
        </is>
      </c>
      <c r="D124" s="103">
        <f>VLOOKUP(C124,Catálogo!$A$5:$L$51,2,0)</f>
        <v/>
      </c>
      <c r="E124" s="103">
        <f>VLOOKUP(C124,Catálogo!$A$5:$L$51,3,0)</f>
        <v/>
      </c>
      <c r="F124" s="115" t="n">
        <v>8</v>
      </c>
      <c r="G124" s="196" t="n">
        <v>570</v>
      </c>
    </row>
    <row r="125" ht="15" customHeight="1" s="37">
      <c r="A125" s="97" t="inlineStr">
        <is>
          <t>Taquería La Once</t>
        </is>
      </c>
      <c r="B125" s="97" t="inlineStr">
        <is>
          <t>Restaurante</t>
        </is>
      </c>
      <c r="C125" s="97" t="inlineStr">
        <is>
          <t>ABA-007</t>
        </is>
      </c>
      <c r="D125" s="103">
        <f>VLOOKUP(C125,Catálogo!$A$5:$L$51,2,0)</f>
        <v/>
      </c>
      <c r="E125" s="103">
        <f>VLOOKUP(C125,Catálogo!$A$5:$L$51,3,0)</f>
        <v/>
      </c>
      <c r="F125" s="115" t="n">
        <v>14</v>
      </c>
      <c r="G125" s="196" t="n">
        <v>530</v>
      </c>
    </row>
    <row r="126" ht="15" customHeight="1" s="37">
      <c r="A126" s="97" t="inlineStr">
        <is>
          <t>Hotel Plaza Sur</t>
        </is>
      </c>
      <c r="B126" s="97" t="inlineStr">
        <is>
          <t>Hotel</t>
        </is>
      </c>
      <c r="C126" s="97" t="inlineStr">
        <is>
          <t>ABA-007</t>
        </is>
      </c>
      <c r="D126" s="103">
        <f>VLOOKUP(C126,Catálogo!$A$5:$L$51,2,0)</f>
        <v/>
      </c>
      <c r="E126" s="103">
        <f>VLOOKUP(C126,Catálogo!$A$5:$L$51,3,0)</f>
        <v/>
      </c>
      <c r="F126" s="115" t="n">
        <v>15</v>
      </c>
      <c r="G126" s="196" t="n">
        <v>570</v>
      </c>
    </row>
    <row r="127" ht="15" customHeight="1" s="37">
      <c r="A127" s="97" t="inlineStr">
        <is>
          <t>Abarrotes Don Beto</t>
        </is>
      </c>
      <c r="B127" s="97" t="inlineStr">
        <is>
          <t>Retail</t>
        </is>
      </c>
      <c r="C127" s="97" t="inlineStr">
        <is>
          <t>ABA-007</t>
        </is>
      </c>
      <c r="D127" s="103">
        <f>VLOOKUP(C127,Catálogo!$A$5:$L$51,2,0)</f>
        <v/>
      </c>
      <c r="E127" s="103">
        <f>VLOOKUP(C127,Catálogo!$A$5:$L$51,3,0)</f>
        <v/>
      </c>
      <c r="F127" s="115" t="n">
        <v>8</v>
      </c>
      <c r="G127" s="196" t="n">
        <v>330</v>
      </c>
    </row>
    <row r="128" ht="15" customHeight="1" s="37">
      <c r="A128" s="97" t="inlineStr">
        <is>
          <t>Restaurante El Fogón</t>
        </is>
      </c>
      <c r="B128" s="97" t="inlineStr">
        <is>
          <t>Restaurante</t>
        </is>
      </c>
      <c r="C128" s="97" t="inlineStr">
        <is>
          <t>ABA-007</t>
        </is>
      </c>
      <c r="D128" s="103">
        <f>VLOOKUP(C128,Catálogo!$A$5:$L$51,2,0)</f>
        <v/>
      </c>
      <c r="E128" s="103">
        <f>VLOOKUP(C128,Catálogo!$A$5:$L$51,3,0)</f>
        <v/>
      </c>
      <c r="F128" s="115" t="n">
        <v>7</v>
      </c>
      <c r="G128" s="196" t="n">
        <v>280</v>
      </c>
    </row>
    <row r="129" ht="15" customHeight="1" s="37">
      <c r="A129" s="97" t="inlineStr">
        <is>
          <t>Cocina Económica Lupita</t>
        </is>
      </c>
      <c r="B129" s="97" t="inlineStr">
        <is>
          <t>Fonda</t>
        </is>
      </c>
      <c r="C129" s="97" t="inlineStr">
        <is>
          <t>ABA-007</t>
        </is>
      </c>
      <c r="D129" s="103">
        <f>VLOOKUP(C129,Catálogo!$A$5:$L$51,2,0)</f>
        <v/>
      </c>
      <c r="E129" s="103">
        <f>VLOOKUP(C129,Catálogo!$A$5:$L$51,3,0)</f>
        <v/>
      </c>
      <c r="F129" s="115" t="n">
        <v>19</v>
      </c>
      <c r="G129" s="196" t="n">
        <v>750</v>
      </c>
    </row>
    <row r="130" ht="15" customHeight="1" s="37">
      <c r="A130" s="97" t="inlineStr">
        <is>
          <t>Marisquería El Puerto</t>
        </is>
      </c>
      <c r="B130" s="97" t="inlineStr">
        <is>
          <t>Restaurante</t>
        </is>
      </c>
      <c r="C130" s="97" t="inlineStr">
        <is>
          <t>ABA-007</t>
        </is>
      </c>
      <c r="D130" s="103">
        <f>VLOOKUP(C130,Catálogo!$A$5:$L$51,2,0)</f>
        <v/>
      </c>
      <c r="E130" s="103">
        <f>VLOOKUP(C130,Catálogo!$A$5:$L$51,3,0)</f>
        <v/>
      </c>
      <c r="F130" s="115" t="n">
        <v>7</v>
      </c>
      <c r="G130" s="196" t="n">
        <v>280</v>
      </c>
    </row>
    <row r="131" ht="15" customHeight="1" s="37">
      <c r="A131" s="97" t="inlineStr">
        <is>
          <t>Cocina Económica Lupita</t>
        </is>
      </c>
      <c r="B131" s="97" t="inlineStr">
        <is>
          <t>Fonda</t>
        </is>
      </c>
      <c r="C131" s="97" t="inlineStr">
        <is>
          <t>ABA-008</t>
        </is>
      </c>
      <c r="D131" s="103">
        <f>VLOOKUP(C131,Catálogo!$A$5:$L$51,2,0)</f>
        <v/>
      </c>
      <c r="E131" s="103">
        <f>VLOOKUP(C131,Catálogo!$A$5:$L$51,3,0)</f>
        <v/>
      </c>
      <c r="F131" s="115" t="n">
        <v>8</v>
      </c>
      <c r="G131" s="196" t="n">
        <v>370</v>
      </c>
    </row>
    <row r="132" ht="15" customHeight="1" s="37">
      <c r="A132" s="97" t="inlineStr">
        <is>
          <t>Abarrotes Don Beto</t>
        </is>
      </c>
      <c r="B132" s="97" t="inlineStr">
        <is>
          <t>Retail</t>
        </is>
      </c>
      <c r="C132" s="97" t="inlineStr">
        <is>
          <t>ABA-008</t>
        </is>
      </c>
      <c r="D132" s="103">
        <f>VLOOKUP(C132,Catálogo!$A$5:$L$51,2,0)</f>
        <v/>
      </c>
      <c r="E132" s="103">
        <f>VLOOKUP(C132,Catálogo!$A$5:$L$51,3,0)</f>
        <v/>
      </c>
      <c r="F132" s="115" t="n">
        <v>11</v>
      </c>
      <c r="G132" s="196" t="n">
        <v>480</v>
      </c>
    </row>
    <row r="133" ht="15" customHeight="1" s="37">
      <c r="A133" s="97" t="inlineStr">
        <is>
          <t>Hotel Plaza Sur</t>
        </is>
      </c>
      <c r="B133" s="97" t="inlineStr">
        <is>
          <t>Hotel</t>
        </is>
      </c>
      <c r="C133" s="97" t="inlineStr">
        <is>
          <t>ABA-008</t>
        </is>
      </c>
      <c r="D133" s="103">
        <f>VLOOKUP(C133,Catálogo!$A$5:$L$51,2,0)</f>
        <v/>
      </c>
      <c r="E133" s="103">
        <f>VLOOKUP(C133,Catálogo!$A$5:$L$51,3,0)</f>
        <v/>
      </c>
      <c r="F133" s="115" t="n">
        <v>8</v>
      </c>
      <c r="G133" s="196" t="n">
        <v>330</v>
      </c>
    </row>
    <row r="134" ht="15" customHeight="1" s="37">
      <c r="A134" s="97" t="inlineStr">
        <is>
          <t>Taquería La Once</t>
        </is>
      </c>
      <c r="B134" s="97" t="inlineStr">
        <is>
          <t>Restaurante</t>
        </is>
      </c>
      <c r="C134" s="97" t="inlineStr">
        <is>
          <t>ABA-008</t>
        </is>
      </c>
      <c r="D134" s="103">
        <f>VLOOKUP(C134,Catálogo!$A$5:$L$51,2,0)</f>
        <v/>
      </c>
      <c r="E134" s="103">
        <f>VLOOKUP(C134,Catálogo!$A$5:$L$51,3,0)</f>
        <v/>
      </c>
      <c r="F134" s="115" t="n">
        <v>14</v>
      </c>
      <c r="G134" s="196" t="n">
        <v>600</v>
      </c>
    </row>
    <row r="135" ht="15" customHeight="1" s="37">
      <c r="A135" s="97" t="inlineStr">
        <is>
          <t>Cafetería Central</t>
        </is>
      </c>
      <c r="B135" s="97" t="inlineStr">
        <is>
          <t>Cafetería</t>
        </is>
      </c>
      <c r="C135" s="97" t="inlineStr">
        <is>
          <t>ABA-008</t>
        </is>
      </c>
      <c r="D135" s="103">
        <f>VLOOKUP(C135,Catálogo!$A$5:$L$51,2,0)</f>
        <v/>
      </c>
      <c r="E135" s="103">
        <f>VLOOKUP(C135,Catálogo!$A$5:$L$51,3,0)</f>
        <v/>
      </c>
      <c r="F135" s="115" t="n">
        <v>13</v>
      </c>
      <c r="G135" s="196" t="n">
        <v>580</v>
      </c>
    </row>
    <row r="136" ht="15" customHeight="1" s="37">
      <c r="A136" s="97" t="inlineStr">
        <is>
          <t>Abarrotes Don Beto</t>
        </is>
      </c>
      <c r="B136" s="97" t="inlineStr">
        <is>
          <t>Retail</t>
        </is>
      </c>
      <c r="C136" s="97" t="inlineStr">
        <is>
          <t>ABA-009</t>
        </is>
      </c>
      <c r="D136" s="103">
        <f>VLOOKUP(C136,Catálogo!$A$5:$L$51,2,0)</f>
        <v/>
      </c>
      <c r="E136" s="103">
        <f>VLOOKUP(C136,Catálogo!$A$5:$L$51,3,0)</f>
        <v/>
      </c>
      <c r="F136" s="115" t="n">
        <v>58</v>
      </c>
      <c r="G136" s="196" t="n">
        <v>2450</v>
      </c>
    </row>
    <row r="137" ht="15" customHeight="1" s="37">
      <c r="A137" s="97" t="inlineStr">
        <is>
          <t>Hotel Plaza Sur</t>
        </is>
      </c>
      <c r="B137" s="97" t="inlineStr">
        <is>
          <t>Hotel</t>
        </is>
      </c>
      <c r="C137" s="97" t="inlineStr">
        <is>
          <t>ABA-010</t>
        </is>
      </c>
      <c r="D137" s="103">
        <f>VLOOKUP(C137,Catálogo!$A$5:$L$51,2,0)</f>
        <v/>
      </c>
      <c r="E137" s="103">
        <f>VLOOKUP(C137,Catálogo!$A$5:$L$51,3,0)</f>
        <v/>
      </c>
      <c r="F137" s="115" t="n">
        <v>23</v>
      </c>
      <c r="G137" s="196" t="n">
        <v>520</v>
      </c>
    </row>
    <row r="138" ht="15" customHeight="1" s="37">
      <c r="A138" s="97" t="inlineStr">
        <is>
          <t>Taquería La Once</t>
        </is>
      </c>
      <c r="B138" s="97" t="inlineStr">
        <is>
          <t>Restaurante</t>
        </is>
      </c>
      <c r="C138" s="97" t="inlineStr">
        <is>
          <t>ABA-010</t>
        </is>
      </c>
      <c r="D138" s="103">
        <f>VLOOKUP(C138,Catálogo!$A$5:$L$51,2,0)</f>
        <v/>
      </c>
      <c r="E138" s="103">
        <f>VLOOKUP(C138,Catálogo!$A$5:$L$51,3,0)</f>
        <v/>
      </c>
      <c r="F138" s="115" t="n">
        <v>27</v>
      </c>
      <c r="G138" s="196" t="n">
        <v>610</v>
      </c>
    </row>
    <row r="139" ht="15" customHeight="1" s="37">
      <c r="A139" s="97" t="inlineStr">
        <is>
          <t>Cocina Económica Lupita</t>
        </is>
      </c>
      <c r="B139" s="97" t="inlineStr">
        <is>
          <t>Fonda</t>
        </is>
      </c>
      <c r="C139" s="97" t="inlineStr">
        <is>
          <t>ABA-010</t>
        </is>
      </c>
      <c r="D139" s="103">
        <f>VLOOKUP(C139,Catálogo!$A$5:$L$51,2,0)</f>
        <v/>
      </c>
      <c r="E139" s="103">
        <f>VLOOKUP(C139,Catálogo!$A$5:$L$51,3,0)</f>
        <v/>
      </c>
      <c r="F139" s="115" t="n">
        <v>33</v>
      </c>
      <c r="G139" s="196" t="n">
        <v>740</v>
      </c>
    </row>
    <row r="140" ht="15" customHeight="1" s="37">
      <c r="A140" s="97" t="inlineStr">
        <is>
          <t>Hotel Mibani</t>
        </is>
      </c>
      <c r="B140" s="97" t="inlineStr">
        <is>
          <t>Hotel</t>
        </is>
      </c>
      <c r="C140" s="97" t="inlineStr">
        <is>
          <t>ABA-010</t>
        </is>
      </c>
      <c r="D140" s="103">
        <f>VLOOKUP(C140,Catálogo!$A$5:$L$51,2,0)</f>
        <v/>
      </c>
      <c r="E140" s="103">
        <f>VLOOKUP(C140,Catálogo!$A$5:$L$51,3,0)</f>
        <v/>
      </c>
      <c r="F140" s="115" t="n">
        <v>22</v>
      </c>
      <c r="G140" s="196" t="n">
        <v>480</v>
      </c>
    </row>
    <row r="141" ht="15" customHeight="1" s="37">
      <c r="A141" s="97" t="inlineStr">
        <is>
          <t>Restaurante El Fogón</t>
        </is>
      </c>
      <c r="B141" s="97" t="inlineStr">
        <is>
          <t>Restaurante</t>
        </is>
      </c>
      <c r="C141" s="97" t="inlineStr">
        <is>
          <t>ABA-011</t>
        </is>
      </c>
      <c r="D141" s="103">
        <f>VLOOKUP(C141,Catálogo!$A$5:$L$51,2,0)</f>
        <v/>
      </c>
      <c r="E141" s="103">
        <f>VLOOKUP(C141,Catálogo!$A$5:$L$51,3,0)</f>
        <v/>
      </c>
      <c r="F141" s="115" t="n">
        <v>14</v>
      </c>
      <c r="G141" s="196" t="n">
        <v>700</v>
      </c>
    </row>
    <row r="142" ht="15" customHeight="1" s="37">
      <c r="A142" s="97" t="inlineStr">
        <is>
          <t>Marisquería El Puerto</t>
        </is>
      </c>
      <c r="B142" s="97" t="inlineStr">
        <is>
          <t>Restaurante</t>
        </is>
      </c>
      <c r="C142" s="97" t="inlineStr">
        <is>
          <t>ABA-011</t>
        </is>
      </c>
      <c r="D142" s="103">
        <f>VLOOKUP(C142,Catálogo!$A$5:$L$51,2,0)</f>
        <v/>
      </c>
      <c r="E142" s="103">
        <f>VLOOKUP(C142,Catálogo!$A$5:$L$51,3,0)</f>
        <v/>
      </c>
      <c r="F142" s="115" t="n">
        <v>10</v>
      </c>
      <c r="G142" s="196" t="n">
        <v>530</v>
      </c>
    </row>
    <row r="143" ht="15" customHeight="1" s="37">
      <c r="A143" s="97" t="inlineStr">
        <is>
          <t>Cocina Económica Lupita</t>
        </is>
      </c>
      <c r="B143" s="97" t="inlineStr">
        <is>
          <t>Fonda</t>
        </is>
      </c>
      <c r="C143" s="97" t="inlineStr">
        <is>
          <t>ABA-011</t>
        </is>
      </c>
      <c r="D143" s="103">
        <f>VLOOKUP(C143,Catálogo!$A$5:$L$51,2,0)</f>
        <v/>
      </c>
      <c r="E143" s="103">
        <f>VLOOKUP(C143,Catálogo!$A$5:$L$51,3,0)</f>
        <v/>
      </c>
      <c r="F143" s="115" t="n">
        <v>13</v>
      </c>
      <c r="G143" s="196" t="n">
        <v>640</v>
      </c>
    </row>
    <row r="144" ht="15" customHeight="1" s="37">
      <c r="A144" s="97" t="inlineStr">
        <is>
          <t>Abarrotes Don Beto</t>
        </is>
      </c>
      <c r="B144" s="97" t="inlineStr">
        <is>
          <t>Retail</t>
        </is>
      </c>
      <c r="C144" s="97" t="inlineStr">
        <is>
          <t>ABA-011</t>
        </is>
      </c>
      <c r="D144" s="103">
        <f>VLOOKUP(C144,Catálogo!$A$5:$L$51,2,0)</f>
        <v/>
      </c>
      <c r="E144" s="103">
        <f>VLOOKUP(C144,Catálogo!$A$5:$L$51,3,0)</f>
        <v/>
      </c>
      <c r="F144" s="115" t="n">
        <v>14</v>
      </c>
      <c r="G144" s="196" t="n">
        <v>700</v>
      </c>
    </row>
    <row r="145" ht="15" customHeight="1" s="37">
      <c r="A145" s="97" t="inlineStr">
        <is>
          <t>Taquería La Once</t>
        </is>
      </c>
      <c r="B145" s="97" t="inlineStr">
        <is>
          <t>Restaurante</t>
        </is>
      </c>
      <c r="C145" s="97" t="inlineStr">
        <is>
          <t>ABA-011</t>
        </is>
      </c>
      <c r="D145" s="103">
        <f>VLOOKUP(C145,Catálogo!$A$5:$L$51,2,0)</f>
        <v/>
      </c>
      <c r="E145" s="103">
        <f>VLOOKUP(C145,Catálogo!$A$5:$L$51,3,0)</f>
        <v/>
      </c>
      <c r="F145" s="115" t="n">
        <v>10</v>
      </c>
      <c r="G145" s="196" t="n">
        <v>520</v>
      </c>
    </row>
    <row r="146" ht="15" customHeight="1" s="37">
      <c r="A146" s="97" t="inlineStr">
        <is>
          <t>Hotel Plaza Sur</t>
        </is>
      </c>
      <c r="B146" s="97" t="inlineStr">
        <is>
          <t>Hotel</t>
        </is>
      </c>
      <c r="C146" s="97" t="inlineStr">
        <is>
          <t>ABA-012</t>
        </is>
      </c>
      <c r="D146" s="103">
        <f>VLOOKUP(C146,Catálogo!$A$5:$L$51,2,0)</f>
        <v/>
      </c>
      <c r="E146" s="103">
        <f>VLOOKUP(C146,Catálogo!$A$5:$L$51,3,0)</f>
        <v/>
      </c>
      <c r="F146" s="115" t="n">
        <v>4</v>
      </c>
      <c r="G146" s="196" t="n">
        <v>270</v>
      </c>
    </row>
    <row r="147" ht="15" customHeight="1" s="37">
      <c r="A147" s="97" t="inlineStr">
        <is>
          <t>Abarrotes Don Beto</t>
        </is>
      </c>
      <c r="B147" s="97" t="inlineStr">
        <is>
          <t>Retail</t>
        </is>
      </c>
      <c r="C147" s="97" t="inlineStr">
        <is>
          <t>ABA-012</t>
        </is>
      </c>
      <c r="D147" s="103">
        <f>VLOOKUP(C147,Catálogo!$A$5:$L$51,2,0)</f>
        <v/>
      </c>
      <c r="E147" s="103">
        <f>VLOOKUP(C147,Catálogo!$A$5:$L$51,3,0)</f>
        <v/>
      </c>
      <c r="F147" s="115" t="n">
        <v>9</v>
      </c>
      <c r="G147" s="196" t="n">
        <v>580</v>
      </c>
    </row>
    <row r="148" ht="15" customHeight="1" s="37">
      <c r="A148" s="97" t="inlineStr">
        <is>
          <t>Taquería La Once</t>
        </is>
      </c>
      <c r="B148" s="97" t="inlineStr">
        <is>
          <t>Restaurante</t>
        </is>
      </c>
      <c r="C148" s="97" t="inlineStr">
        <is>
          <t>ABA-012</t>
        </is>
      </c>
      <c r="D148" s="103">
        <f>VLOOKUP(C148,Catálogo!$A$5:$L$51,2,0)</f>
        <v/>
      </c>
      <c r="E148" s="103">
        <f>VLOOKUP(C148,Catálogo!$A$5:$L$51,3,0)</f>
        <v/>
      </c>
      <c r="F148" s="115" t="n">
        <v>8</v>
      </c>
      <c r="G148" s="196" t="n">
        <v>530</v>
      </c>
    </row>
    <row r="149" ht="15" customHeight="1" s="37">
      <c r="A149" s="97" t="inlineStr">
        <is>
          <t>Marisquería El Puerto</t>
        </is>
      </c>
      <c r="B149" s="97" t="inlineStr">
        <is>
          <t>Restaurante</t>
        </is>
      </c>
      <c r="C149" s="97" t="inlineStr">
        <is>
          <t>ABA-012</t>
        </is>
      </c>
      <c r="D149" s="103">
        <f>VLOOKUP(C149,Catálogo!$A$5:$L$51,2,0)</f>
        <v/>
      </c>
      <c r="E149" s="103">
        <f>VLOOKUP(C149,Catálogo!$A$5:$L$51,3,0)</f>
        <v/>
      </c>
      <c r="F149" s="115" t="n">
        <v>4</v>
      </c>
      <c r="G149" s="196" t="n">
        <v>260</v>
      </c>
    </row>
    <row r="150" ht="15" customHeight="1" s="37">
      <c r="A150" s="97" t="inlineStr">
        <is>
          <t>Marisquería El Puerto</t>
        </is>
      </c>
      <c r="B150" s="97" t="inlineStr">
        <is>
          <t>Restaurante</t>
        </is>
      </c>
      <c r="C150" s="97" t="inlineStr">
        <is>
          <t>ABA-013</t>
        </is>
      </c>
      <c r="D150" s="103">
        <f>VLOOKUP(C150,Catálogo!$A$5:$L$51,2,0)</f>
        <v/>
      </c>
      <c r="E150" s="103">
        <f>VLOOKUP(C150,Catálogo!$A$5:$L$51,3,0)</f>
        <v/>
      </c>
      <c r="F150" s="115" t="n">
        <v>20</v>
      </c>
      <c r="G150" s="196" t="n">
        <v>590</v>
      </c>
    </row>
    <row r="151" ht="15" customHeight="1" s="37">
      <c r="A151" s="97" t="inlineStr">
        <is>
          <t>Hotel Plaza Sur</t>
        </is>
      </c>
      <c r="B151" s="97" t="inlineStr">
        <is>
          <t>Hotel</t>
        </is>
      </c>
      <c r="C151" s="97" t="inlineStr">
        <is>
          <t>ABA-013</t>
        </is>
      </c>
      <c r="D151" s="103">
        <f>VLOOKUP(C151,Catálogo!$A$5:$L$51,2,0)</f>
        <v/>
      </c>
      <c r="E151" s="103">
        <f>VLOOKUP(C151,Catálogo!$A$5:$L$51,3,0)</f>
        <v/>
      </c>
      <c r="F151" s="115" t="n">
        <v>20</v>
      </c>
      <c r="G151" s="196" t="n">
        <v>610</v>
      </c>
    </row>
    <row r="152" ht="15" customHeight="1" s="37">
      <c r="A152" s="97" t="inlineStr">
        <is>
          <t>Restaurante El Fogón</t>
        </is>
      </c>
      <c r="B152" s="97" t="inlineStr">
        <is>
          <t>Restaurante</t>
        </is>
      </c>
      <c r="C152" s="97" t="inlineStr">
        <is>
          <t>ABA-013</t>
        </is>
      </c>
      <c r="D152" s="103">
        <f>VLOOKUP(C152,Catálogo!$A$5:$L$51,2,0)</f>
        <v/>
      </c>
      <c r="E152" s="103">
        <f>VLOOKUP(C152,Catálogo!$A$5:$L$51,3,0)</f>
        <v/>
      </c>
      <c r="F152" s="115" t="n">
        <v>7</v>
      </c>
      <c r="G152" s="196" t="n">
        <v>220</v>
      </c>
    </row>
    <row r="153" ht="15" customHeight="1" s="37">
      <c r="A153" s="97" t="inlineStr">
        <is>
          <t>Cocina Económica Lupita</t>
        </is>
      </c>
      <c r="B153" s="97" t="inlineStr">
        <is>
          <t>Fonda</t>
        </is>
      </c>
      <c r="C153" s="97" t="inlineStr">
        <is>
          <t>ABA-014</t>
        </is>
      </c>
      <c r="D153" s="103">
        <f>VLOOKUP(C153,Catálogo!$A$5:$L$51,2,0)</f>
        <v/>
      </c>
      <c r="E153" s="103">
        <f>VLOOKUP(C153,Catálogo!$A$5:$L$51,3,0)</f>
        <v/>
      </c>
      <c r="F153" s="115" t="n">
        <v>40</v>
      </c>
      <c r="G153" s="196" t="n">
        <v>990</v>
      </c>
    </row>
    <row r="154" ht="15" customHeight="1" s="37">
      <c r="A154" s="97" t="inlineStr">
        <is>
          <t>Abarrotes Don Beto</t>
        </is>
      </c>
      <c r="B154" s="97" t="inlineStr">
        <is>
          <t>Retail</t>
        </is>
      </c>
      <c r="C154" s="97" t="inlineStr">
        <is>
          <t>ABA-014</t>
        </is>
      </c>
      <c r="D154" s="103">
        <f>VLOOKUP(C154,Catálogo!$A$5:$L$51,2,0)</f>
        <v/>
      </c>
      <c r="E154" s="103">
        <f>VLOOKUP(C154,Catálogo!$A$5:$L$51,3,0)</f>
        <v/>
      </c>
      <c r="F154" s="115" t="n">
        <v>40</v>
      </c>
      <c r="G154" s="196" t="n">
        <v>1000</v>
      </c>
    </row>
    <row r="155" ht="15" customHeight="1" s="37">
      <c r="A155" s="97" t="inlineStr">
        <is>
          <t>Cocina Económica Lupita</t>
        </is>
      </c>
      <c r="B155" s="97" t="inlineStr">
        <is>
          <t>Fonda</t>
        </is>
      </c>
      <c r="C155" s="97" t="inlineStr">
        <is>
          <t>ABA-015</t>
        </is>
      </c>
      <c r="D155" s="103">
        <f>VLOOKUP(C155,Catálogo!$A$5:$L$51,2,0)</f>
        <v/>
      </c>
      <c r="E155" s="103">
        <f>VLOOKUP(C155,Catálogo!$A$5:$L$51,3,0)</f>
        <v/>
      </c>
      <c r="F155" s="115" t="n">
        <v>9</v>
      </c>
      <c r="G155" s="196" t="n">
        <v>610</v>
      </c>
    </row>
    <row r="156" ht="15" customHeight="1" s="37">
      <c r="A156" s="97" t="inlineStr">
        <is>
          <t>Marisquería El Puerto</t>
        </is>
      </c>
      <c r="B156" s="97" t="inlineStr">
        <is>
          <t>Restaurante</t>
        </is>
      </c>
      <c r="C156" s="97" t="inlineStr">
        <is>
          <t>ABA-015</t>
        </is>
      </c>
      <c r="D156" s="103">
        <f>VLOOKUP(C156,Catálogo!$A$5:$L$51,2,0)</f>
        <v/>
      </c>
      <c r="E156" s="103">
        <f>VLOOKUP(C156,Catálogo!$A$5:$L$51,3,0)</f>
        <v/>
      </c>
      <c r="F156" s="115" t="n">
        <v>12</v>
      </c>
      <c r="G156" s="196" t="n">
        <v>770</v>
      </c>
    </row>
    <row r="157" ht="15" customHeight="1" s="37">
      <c r="A157" s="97" t="inlineStr">
        <is>
          <t>Taquería La Once</t>
        </is>
      </c>
      <c r="B157" s="97" t="inlineStr">
        <is>
          <t>Restaurante</t>
        </is>
      </c>
      <c r="C157" s="97" t="inlineStr">
        <is>
          <t>ABA-015</t>
        </is>
      </c>
      <c r="D157" s="103">
        <f>VLOOKUP(C157,Catálogo!$A$5:$L$51,2,0)</f>
        <v/>
      </c>
      <c r="E157" s="103">
        <f>VLOOKUP(C157,Catálogo!$A$5:$L$51,3,0)</f>
        <v/>
      </c>
      <c r="F157" s="115" t="n">
        <v>7</v>
      </c>
      <c r="G157" s="196" t="n">
        <v>470</v>
      </c>
    </row>
    <row r="158" ht="15" customHeight="1" s="37">
      <c r="A158" s="97" t="inlineStr">
        <is>
          <t>Abarrotes Don Beto</t>
        </is>
      </c>
      <c r="B158" s="97" t="inlineStr">
        <is>
          <t>Retail</t>
        </is>
      </c>
      <c r="C158" s="97" t="inlineStr">
        <is>
          <t>ABA-015</t>
        </is>
      </c>
      <c r="D158" s="103">
        <f>VLOOKUP(C158,Catálogo!$A$5:$L$51,2,0)</f>
        <v/>
      </c>
      <c r="E158" s="103">
        <f>VLOOKUP(C158,Catálogo!$A$5:$L$51,3,0)</f>
        <v/>
      </c>
      <c r="F158" s="115" t="n">
        <v>13</v>
      </c>
      <c r="G158" s="196" t="n">
        <v>860</v>
      </c>
    </row>
    <row r="159" ht="15" customHeight="1" s="37">
      <c r="A159" s="97" t="inlineStr">
        <is>
          <t>Hotel Mibani</t>
        </is>
      </c>
      <c r="B159" s="97" t="inlineStr">
        <is>
          <t>Hotel</t>
        </is>
      </c>
      <c r="C159" s="97" t="inlineStr">
        <is>
          <t>ABA-015</t>
        </is>
      </c>
      <c r="D159" s="103">
        <f>VLOOKUP(C159,Catálogo!$A$5:$L$51,2,0)</f>
        <v/>
      </c>
      <c r="E159" s="103">
        <f>VLOOKUP(C159,Catálogo!$A$5:$L$51,3,0)</f>
        <v/>
      </c>
      <c r="F159" s="115" t="n">
        <v>8</v>
      </c>
      <c r="G159" s="196" t="n">
        <v>510</v>
      </c>
    </row>
    <row r="160" ht="15" customHeight="1" s="37">
      <c r="A160" s="97" t="inlineStr">
        <is>
          <t>Cocina Económica Lupita</t>
        </is>
      </c>
      <c r="B160" s="97" t="inlineStr">
        <is>
          <t>Fonda</t>
        </is>
      </c>
      <c r="C160" s="97" t="inlineStr">
        <is>
          <t>ABA-016</t>
        </is>
      </c>
      <c r="D160" s="103">
        <f>VLOOKUP(C160,Catálogo!$A$5:$L$51,2,0)</f>
        <v/>
      </c>
      <c r="E160" s="103">
        <f>VLOOKUP(C160,Catálogo!$A$5:$L$51,3,0)</f>
        <v/>
      </c>
      <c r="F160" s="115" t="n">
        <v>11</v>
      </c>
      <c r="G160" s="196" t="n">
        <v>750</v>
      </c>
    </row>
    <row r="161" ht="15" customHeight="1" s="37">
      <c r="A161" s="97" t="inlineStr">
        <is>
          <t>Hotel Mibani</t>
        </is>
      </c>
      <c r="B161" s="97" t="inlineStr">
        <is>
          <t>Hotel</t>
        </is>
      </c>
      <c r="C161" s="97" t="inlineStr">
        <is>
          <t>ABA-016</t>
        </is>
      </c>
      <c r="D161" s="103">
        <f>VLOOKUP(C161,Catálogo!$A$5:$L$51,2,0)</f>
        <v/>
      </c>
      <c r="E161" s="103">
        <f>VLOOKUP(C161,Catálogo!$A$5:$L$51,3,0)</f>
        <v/>
      </c>
      <c r="F161" s="115" t="n">
        <v>6</v>
      </c>
      <c r="G161" s="196" t="n">
        <v>380</v>
      </c>
    </row>
    <row r="162" ht="15" customHeight="1" s="37">
      <c r="A162" s="97" t="inlineStr">
        <is>
          <t>Cafetería Central</t>
        </is>
      </c>
      <c r="B162" s="97" t="inlineStr">
        <is>
          <t>Cafetería</t>
        </is>
      </c>
      <c r="C162" s="97" t="inlineStr">
        <is>
          <t>ABA-016</t>
        </is>
      </c>
      <c r="D162" s="103">
        <f>VLOOKUP(C162,Catálogo!$A$5:$L$51,2,0)</f>
        <v/>
      </c>
      <c r="E162" s="103">
        <f>VLOOKUP(C162,Catálogo!$A$5:$L$51,3,0)</f>
        <v/>
      </c>
      <c r="F162" s="115" t="n">
        <v>12</v>
      </c>
      <c r="G162" s="196" t="n">
        <v>800</v>
      </c>
    </row>
    <row r="163" ht="15" customHeight="1" s="37">
      <c r="A163" s="97" t="inlineStr">
        <is>
          <t>Hotel Plaza Sur</t>
        </is>
      </c>
      <c r="B163" s="97" t="inlineStr">
        <is>
          <t>Hotel</t>
        </is>
      </c>
      <c r="C163" s="97" t="inlineStr">
        <is>
          <t>ABA-016</t>
        </is>
      </c>
      <c r="D163" s="103">
        <f>VLOOKUP(C163,Catálogo!$A$5:$L$51,2,0)</f>
        <v/>
      </c>
      <c r="E163" s="103">
        <f>VLOOKUP(C163,Catálogo!$A$5:$L$51,3,0)</f>
        <v/>
      </c>
      <c r="F163" s="115" t="n">
        <v>10</v>
      </c>
      <c r="G163" s="196" t="n">
        <v>700</v>
      </c>
    </row>
    <row r="164" ht="15" customHeight="1" s="37">
      <c r="A164" s="97" t="inlineStr">
        <is>
          <t>Marisquería El Puerto</t>
        </is>
      </c>
      <c r="B164" s="97" t="inlineStr">
        <is>
          <t>Restaurante</t>
        </is>
      </c>
      <c r="C164" s="97" t="inlineStr">
        <is>
          <t>ABA-016</t>
        </is>
      </c>
      <c r="D164" s="103">
        <f>VLOOKUP(C164,Catálogo!$A$5:$L$51,2,0)</f>
        <v/>
      </c>
      <c r="E164" s="103">
        <f>VLOOKUP(C164,Catálogo!$A$5:$L$51,3,0)</f>
        <v/>
      </c>
      <c r="F164" s="115" t="n">
        <v>5</v>
      </c>
      <c r="G164" s="196" t="n">
        <v>340</v>
      </c>
    </row>
    <row r="165" ht="15" customHeight="1" s="37">
      <c r="A165" s="97" t="inlineStr">
        <is>
          <t>Restaurante El Fogón</t>
        </is>
      </c>
      <c r="B165" s="97" t="inlineStr">
        <is>
          <t>Restaurante</t>
        </is>
      </c>
      <c r="C165" s="97" t="inlineStr">
        <is>
          <t>ABA-017</t>
        </is>
      </c>
      <c r="D165" s="103">
        <f>VLOOKUP(C165,Catálogo!$A$5:$L$51,2,0)</f>
        <v/>
      </c>
      <c r="E165" s="103">
        <f>VLOOKUP(C165,Catálogo!$A$5:$L$51,3,0)</f>
        <v/>
      </c>
      <c r="F165" s="115" t="n">
        <v>8</v>
      </c>
      <c r="G165" s="196" t="n">
        <v>580</v>
      </c>
    </row>
    <row r="166" ht="15" customHeight="1" s="37">
      <c r="A166" s="97" t="inlineStr">
        <is>
          <t>Taquería La Once</t>
        </is>
      </c>
      <c r="B166" s="97" t="inlineStr">
        <is>
          <t>Restaurante</t>
        </is>
      </c>
      <c r="C166" s="97" t="inlineStr">
        <is>
          <t>ABA-017</t>
        </is>
      </c>
      <c r="D166" s="103">
        <f>VLOOKUP(C166,Catálogo!$A$5:$L$51,2,0)</f>
        <v/>
      </c>
      <c r="E166" s="103">
        <f>VLOOKUP(C166,Catálogo!$A$5:$L$51,3,0)</f>
        <v/>
      </c>
      <c r="F166" s="115" t="n">
        <v>7</v>
      </c>
      <c r="G166" s="196" t="n">
        <v>470</v>
      </c>
    </row>
    <row r="167" ht="15" customHeight="1" s="37">
      <c r="A167" s="97" t="inlineStr">
        <is>
          <t>Marisquería El Puerto</t>
        </is>
      </c>
      <c r="B167" s="97" t="inlineStr">
        <is>
          <t>Restaurante</t>
        </is>
      </c>
      <c r="C167" s="97" t="inlineStr">
        <is>
          <t>ABA-017</t>
        </is>
      </c>
      <c r="D167" s="103">
        <f>VLOOKUP(C167,Catálogo!$A$5:$L$51,2,0)</f>
        <v/>
      </c>
      <c r="E167" s="103">
        <f>VLOOKUP(C167,Catálogo!$A$5:$L$51,3,0)</f>
        <v/>
      </c>
      <c r="F167" s="115" t="n">
        <v>4</v>
      </c>
      <c r="G167" s="196" t="n">
        <v>250</v>
      </c>
    </row>
    <row r="168" ht="15" customHeight="1" s="37">
      <c r="A168" s="97" t="inlineStr">
        <is>
          <t>Hotel Mibani</t>
        </is>
      </c>
      <c r="B168" s="97" t="inlineStr">
        <is>
          <t>Hotel</t>
        </is>
      </c>
      <c r="C168" s="97" t="inlineStr">
        <is>
          <t>ABA-017</t>
        </is>
      </c>
      <c r="D168" s="103">
        <f>VLOOKUP(C168,Catálogo!$A$5:$L$51,2,0)</f>
        <v/>
      </c>
      <c r="E168" s="103">
        <f>VLOOKUP(C168,Catálogo!$A$5:$L$51,3,0)</f>
        <v/>
      </c>
      <c r="F168" s="115" t="n">
        <v>4</v>
      </c>
      <c r="G168" s="196" t="n">
        <v>260</v>
      </c>
    </row>
    <row r="169" ht="15" customHeight="1" s="37">
      <c r="A169" s="97" t="inlineStr">
        <is>
          <t>Cafetería Central</t>
        </is>
      </c>
      <c r="B169" s="97" t="inlineStr">
        <is>
          <t>Cafetería</t>
        </is>
      </c>
      <c r="C169" s="97" t="inlineStr">
        <is>
          <t>ABA-017</t>
        </is>
      </c>
      <c r="D169" s="103">
        <f>VLOOKUP(C169,Catálogo!$A$5:$L$51,2,0)</f>
        <v/>
      </c>
      <c r="E169" s="103">
        <f>VLOOKUP(C169,Catálogo!$A$5:$L$51,3,0)</f>
        <v/>
      </c>
      <c r="F169" s="115" t="n">
        <v>7</v>
      </c>
      <c r="G169" s="196" t="n">
        <v>470</v>
      </c>
    </row>
    <row r="170" ht="15" customHeight="1" s="37">
      <c r="A170" s="97" t="inlineStr">
        <is>
          <t>Cocina Económica Lupita</t>
        </is>
      </c>
      <c r="B170" s="97" t="inlineStr">
        <is>
          <t>Fonda</t>
        </is>
      </c>
      <c r="C170" s="97" t="inlineStr">
        <is>
          <t>ABA-017</t>
        </is>
      </c>
      <c r="D170" s="103">
        <f>VLOOKUP(C170,Catálogo!$A$5:$L$51,2,0)</f>
        <v/>
      </c>
      <c r="E170" s="103">
        <f>VLOOKUP(C170,Catálogo!$A$5:$L$51,3,0)</f>
        <v/>
      </c>
      <c r="F170" s="115" t="n">
        <v>7</v>
      </c>
      <c r="G170" s="196" t="n">
        <v>490</v>
      </c>
    </row>
    <row r="172" ht="15" customHeight="1" s="37">
      <c r="A172" s="97" t="inlineStr">
        <is>
          <t>RANKING — Clientes por SKU (más alto a más bajo)</t>
        </is>
      </c>
      <c r="B172" s="117" t="n"/>
      <c r="C172" s="117" t="n"/>
      <c r="D172" s="82" t="n"/>
      <c r="E172" s="82" t="n"/>
      <c r="F172" s="118" t="n"/>
      <c r="G172" s="197" t="n"/>
    </row>
    <row r="173" ht="15" customHeight="1" s="37">
      <c r="A173" s="120" t="inlineStr">
        <is>
          <t>SKU</t>
        </is>
      </c>
      <c r="B173" s="120" t="inlineStr">
        <is>
          <t>Producto</t>
        </is>
      </c>
      <c r="C173" s="120" t="inlineStr">
        <is>
          <t># Clientes</t>
        </is>
      </c>
      <c r="D173" s="121" t="inlineStr">
        <is>
          <t>Ingreso de Clientes</t>
        </is>
      </c>
      <c r="E173" s="121" t="inlineStr">
        <is>
          <t>Categoría</t>
        </is>
      </c>
      <c r="F173" s="118" t="n"/>
      <c r="G173" s="197" t="n"/>
    </row>
    <row r="174" ht="15" customHeight="1" s="37">
      <c r="A174" s="97" t="inlineStr">
        <is>
          <t>LAC-008</t>
        </is>
      </c>
      <c r="B174" s="97">
        <f>VLOOKUP(A174,Catálogo!$A$5:$L$51,2,0)</f>
        <v/>
      </c>
      <c r="C174" s="122">
        <f>COUNTIF(Clientes!$C$5:$C$170,A174)</f>
        <v/>
      </c>
      <c r="D174" s="123">
        <f>SUMIF(Clientes!$C$5:$C$170,A174,Clientes!$G$5:$G$170)</f>
        <v/>
      </c>
      <c r="E174" s="103">
        <f>VLOOKUP(A174,Catálogo!$A$5:$L$51,3,0)</f>
        <v/>
      </c>
      <c r="F174" s="118" t="n"/>
      <c r="G174" s="197" t="n"/>
    </row>
    <row r="175" ht="15" customHeight="1" s="37">
      <c r="A175" s="97" t="inlineStr">
        <is>
          <t>LAC-017</t>
        </is>
      </c>
      <c r="B175" s="97">
        <f>VLOOKUP(A175,Catálogo!$A$5:$L$51,2,0)</f>
        <v/>
      </c>
      <c r="C175" s="122">
        <f>COUNTIF(Clientes!$C$5:$C$170,A175)</f>
        <v/>
      </c>
      <c r="D175" s="123">
        <f>SUMIF(Clientes!$C$5:$C$170,A175,Clientes!$G$5:$G$170)</f>
        <v/>
      </c>
      <c r="E175" s="103">
        <f>VLOOKUP(A175,Catálogo!$A$5:$L$51,3,0)</f>
        <v/>
      </c>
      <c r="F175" s="118" t="n"/>
      <c r="G175" s="197" t="n"/>
    </row>
    <row r="176" ht="15" customHeight="1" s="37">
      <c r="A176" s="97" t="inlineStr">
        <is>
          <t>LAC-018</t>
        </is>
      </c>
      <c r="B176" s="97">
        <f>VLOOKUP(A176,Catálogo!$A$5:$L$51,2,0)</f>
        <v/>
      </c>
      <c r="C176" s="122">
        <f>COUNTIF(Clientes!$C$5:$C$170,A176)</f>
        <v/>
      </c>
      <c r="D176" s="123">
        <f>SUMIF(Clientes!$C$5:$C$170,A176,Clientes!$G$5:$G$170)</f>
        <v/>
      </c>
      <c r="E176" s="103">
        <f>VLOOKUP(A176,Catálogo!$A$5:$L$51,3,0)</f>
        <v/>
      </c>
      <c r="F176" s="118" t="n"/>
      <c r="G176" s="197" t="n"/>
    </row>
    <row r="177" ht="15" customHeight="1" s="37">
      <c r="A177" s="97" t="inlineStr">
        <is>
          <t>EMB-008</t>
        </is>
      </c>
      <c r="B177" s="97">
        <f>VLOOKUP(A177,Catálogo!$A$5:$L$51,2,0)</f>
        <v/>
      </c>
      <c r="C177" s="122">
        <f>COUNTIF(Clientes!$C$5:$C$170,A177)</f>
        <v/>
      </c>
      <c r="D177" s="123">
        <f>SUMIF(Clientes!$C$5:$C$170,A177,Clientes!$G$5:$G$170)</f>
        <v/>
      </c>
      <c r="E177" s="103">
        <f>VLOOKUP(A177,Catálogo!$A$5:$L$51,3,0)</f>
        <v/>
      </c>
      <c r="F177" s="118" t="n"/>
      <c r="G177" s="197" t="n"/>
    </row>
    <row r="178" ht="15" customHeight="1" s="37">
      <c r="A178" s="97" t="inlineStr">
        <is>
          <t>ABA-003</t>
        </is>
      </c>
      <c r="B178" s="97">
        <f>VLOOKUP(A178,Catálogo!$A$5:$L$51,2,0)</f>
        <v/>
      </c>
      <c r="C178" s="122">
        <f>COUNTIF(Clientes!$C$5:$C$170,A178)</f>
        <v/>
      </c>
      <c r="D178" s="123">
        <f>SUMIF(Clientes!$C$5:$C$170,A178,Clientes!$G$5:$G$170)</f>
        <v/>
      </c>
      <c r="E178" s="103">
        <f>VLOOKUP(A178,Catálogo!$A$5:$L$51,3,0)</f>
        <v/>
      </c>
      <c r="F178" s="118" t="n"/>
      <c r="G178" s="197" t="n"/>
    </row>
    <row r="179" ht="15" customHeight="1" s="37">
      <c r="A179" s="97" t="inlineStr">
        <is>
          <t>ABA-007</t>
        </is>
      </c>
      <c r="B179" s="97">
        <f>VLOOKUP(A179,Catálogo!$A$5:$L$51,2,0)</f>
        <v/>
      </c>
      <c r="C179" s="122">
        <f>COUNTIF(Clientes!$C$5:$C$170,A179)</f>
        <v/>
      </c>
      <c r="D179" s="123">
        <f>SUMIF(Clientes!$C$5:$C$170,A179,Clientes!$G$5:$G$170)</f>
        <v/>
      </c>
      <c r="E179" s="103">
        <f>VLOOKUP(A179,Catálogo!$A$5:$L$51,3,0)</f>
        <v/>
      </c>
      <c r="F179" s="118" t="n"/>
      <c r="G179" s="197" t="n"/>
    </row>
    <row r="180" ht="15" customHeight="1" s="37">
      <c r="A180" s="97" t="inlineStr">
        <is>
          <t>ABA-017</t>
        </is>
      </c>
      <c r="B180" s="97">
        <f>VLOOKUP(A180,Catálogo!$A$5:$L$51,2,0)</f>
        <v/>
      </c>
      <c r="C180" s="122">
        <f>COUNTIF(Clientes!$C$5:$C$170,A180)</f>
        <v/>
      </c>
      <c r="D180" s="123">
        <f>SUMIF(Clientes!$C$5:$C$170,A180,Clientes!$G$5:$G$170)</f>
        <v/>
      </c>
      <c r="E180" s="103">
        <f>VLOOKUP(A180,Catálogo!$A$5:$L$51,3,0)</f>
        <v/>
      </c>
      <c r="F180" s="118" t="n"/>
      <c r="G180" s="197" t="n"/>
    </row>
    <row r="181" ht="15" customHeight="1" s="37">
      <c r="A181" s="97" t="inlineStr">
        <is>
          <t>LAC-001</t>
        </is>
      </c>
      <c r="B181" s="97">
        <f>VLOOKUP(A181,Catálogo!$A$5:$L$51,2,0)</f>
        <v/>
      </c>
      <c r="C181" s="122">
        <f>COUNTIF(Clientes!$C$5:$C$170,A181)</f>
        <v/>
      </c>
      <c r="D181" s="123">
        <f>SUMIF(Clientes!$C$5:$C$170,A181,Clientes!$G$5:$G$170)</f>
        <v/>
      </c>
      <c r="E181" s="103">
        <f>VLOOKUP(A181,Catálogo!$A$5:$L$51,3,0)</f>
        <v/>
      </c>
      <c r="F181" s="118" t="n"/>
      <c r="G181" s="197" t="n"/>
    </row>
    <row r="182" ht="15" customHeight="1" s="37">
      <c r="A182" s="97" t="inlineStr">
        <is>
          <t>LAC-005</t>
        </is>
      </c>
      <c r="B182" s="97">
        <f>VLOOKUP(A182,Catálogo!$A$5:$L$51,2,0)</f>
        <v/>
      </c>
      <c r="C182" s="122">
        <f>COUNTIF(Clientes!$C$5:$C$170,A182)</f>
        <v/>
      </c>
      <c r="D182" s="123">
        <f>SUMIF(Clientes!$C$5:$C$170,A182,Clientes!$G$5:$G$170)</f>
        <v/>
      </c>
      <c r="E182" s="103">
        <f>VLOOKUP(A182,Catálogo!$A$5:$L$51,3,0)</f>
        <v/>
      </c>
      <c r="F182" s="118" t="n"/>
      <c r="G182" s="197" t="n"/>
    </row>
    <row r="183" ht="15" customHeight="1" s="37">
      <c r="A183" s="97" t="inlineStr">
        <is>
          <t>LAC-007</t>
        </is>
      </c>
      <c r="B183" s="97">
        <f>VLOOKUP(A183,Catálogo!$A$5:$L$51,2,0)</f>
        <v/>
      </c>
      <c r="C183" s="122">
        <f>COUNTIF(Clientes!$C$5:$C$170,A183)</f>
        <v/>
      </c>
      <c r="D183" s="123">
        <f>SUMIF(Clientes!$C$5:$C$170,A183,Clientes!$G$5:$G$170)</f>
        <v/>
      </c>
      <c r="E183" s="103">
        <f>VLOOKUP(A183,Catálogo!$A$5:$L$51,3,0)</f>
        <v/>
      </c>
      <c r="F183" s="118" t="n"/>
      <c r="G183" s="197" t="n"/>
    </row>
    <row r="184" ht="15" customHeight="1" s="37">
      <c r="A184" s="97" t="inlineStr">
        <is>
          <t>LAC-015</t>
        </is>
      </c>
      <c r="B184" s="97">
        <f>VLOOKUP(A184,Catálogo!$A$5:$L$51,2,0)</f>
        <v/>
      </c>
      <c r="C184" s="122">
        <f>COUNTIF(Clientes!$C$5:$C$170,A184)</f>
        <v/>
      </c>
      <c r="D184" s="123">
        <f>SUMIF(Clientes!$C$5:$C$170,A184,Clientes!$G$5:$G$170)</f>
        <v/>
      </c>
      <c r="E184" s="103">
        <f>VLOOKUP(A184,Catálogo!$A$5:$L$51,3,0)</f>
        <v/>
      </c>
      <c r="F184" s="118" t="n"/>
      <c r="G184" s="197" t="n"/>
    </row>
    <row r="185" ht="15" customHeight="1" s="37">
      <c r="A185" s="97" t="inlineStr">
        <is>
          <t>EMB-002</t>
        </is>
      </c>
      <c r="B185" s="97">
        <f>VLOOKUP(A185,Catálogo!$A$5:$L$51,2,0)</f>
        <v/>
      </c>
      <c r="C185" s="122">
        <f>COUNTIF(Clientes!$C$5:$C$170,A185)</f>
        <v/>
      </c>
      <c r="D185" s="123">
        <f>SUMIF(Clientes!$C$5:$C$170,A185,Clientes!$G$5:$G$170)</f>
        <v/>
      </c>
      <c r="E185" s="103">
        <f>VLOOKUP(A185,Catálogo!$A$5:$L$51,3,0)</f>
        <v/>
      </c>
      <c r="F185" s="118" t="n"/>
      <c r="G185" s="197" t="n"/>
    </row>
    <row r="186" ht="15" customHeight="1" s="37">
      <c r="A186" s="97" t="inlineStr">
        <is>
          <t>EMB-005</t>
        </is>
      </c>
      <c r="B186" s="97">
        <f>VLOOKUP(A186,Catálogo!$A$5:$L$51,2,0)</f>
        <v/>
      </c>
      <c r="C186" s="122">
        <f>COUNTIF(Clientes!$C$5:$C$170,A186)</f>
        <v/>
      </c>
      <c r="D186" s="123">
        <f>SUMIF(Clientes!$C$5:$C$170,A186,Clientes!$G$5:$G$170)</f>
        <v/>
      </c>
      <c r="E186" s="103">
        <f>VLOOKUP(A186,Catálogo!$A$5:$L$51,3,0)</f>
        <v/>
      </c>
      <c r="F186" s="118" t="n"/>
      <c r="G186" s="197" t="n"/>
    </row>
    <row r="187" ht="15" customHeight="1" s="37">
      <c r="A187" s="97" t="inlineStr">
        <is>
          <t>EMB-007</t>
        </is>
      </c>
      <c r="B187" s="97">
        <f>VLOOKUP(A187,Catálogo!$A$5:$L$51,2,0)</f>
        <v/>
      </c>
      <c r="C187" s="122">
        <f>COUNTIF(Clientes!$C$5:$C$170,A187)</f>
        <v/>
      </c>
      <c r="D187" s="123">
        <f>SUMIF(Clientes!$C$5:$C$170,A187,Clientes!$G$5:$G$170)</f>
        <v/>
      </c>
      <c r="E187" s="103">
        <f>VLOOKUP(A187,Catálogo!$A$5:$L$51,3,0)</f>
        <v/>
      </c>
      <c r="F187" s="118" t="n"/>
      <c r="G187" s="197" t="n"/>
    </row>
    <row r="188" ht="15" customHeight="1" s="37">
      <c r="A188" s="97" t="inlineStr">
        <is>
          <t>EMB-010</t>
        </is>
      </c>
      <c r="B188" s="97">
        <f>VLOOKUP(A188,Catálogo!$A$5:$L$51,2,0)</f>
        <v/>
      </c>
      <c r="C188" s="122">
        <f>COUNTIF(Clientes!$C$5:$C$170,A188)</f>
        <v/>
      </c>
      <c r="D188" s="123">
        <f>SUMIF(Clientes!$C$5:$C$170,A188,Clientes!$G$5:$G$170)</f>
        <v/>
      </c>
      <c r="E188" s="103">
        <f>VLOOKUP(A188,Catálogo!$A$5:$L$51,3,0)</f>
        <v/>
      </c>
      <c r="F188" s="118" t="n"/>
      <c r="G188" s="197" t="n"/>
    </row>
    <row r="189" ht="15" customHeight="1" s="37">
      <c r="A189" s="97" t="inlineStr">
        <is>
          <t>ABA-008</t>
        </is>
      </c>
      <c r="B189" s="97">
        <f>VLOOKUP(A189,Catálogo!$A$5:$L$51,2,0)</f>
        <v/>
      </c>
      <c r="C189" s="122">
        <f>COUNTIF(Clientes!$C$5:$C$170,A189)</f>
        <v/>
      </c>
      <c r="D189" s="123">
        <f>SUMIF(Clientes!$C$5:$C$170,A189,Clientes!$G$5:$G$170)</f>
        <v/>
      </c>
      <c r="E189" s="103">
        <f>VLOOKUP(A189,Catálogo!$A$5:$L$51,3,0)</f>
        <v/>
      </c>
      <c r="F189" s="118" t="n"/>
      <c r="G189" s="197" t="n"/>
    </row>
    <row r="190" ht="15" customHeight="1" s="37">
      <c r="A190" s="97" t="inlineStr">
        <is>
          <t>ABA-011</t>
        </is>
      </c>
      <c r="B190" s="97">
        <f>VLOOKUP(A190,Catálogo!$A$5:$L$51,2,0)</f>
        <v/>
      </c>
      <c r="C190" s="122">
        <f>COUNTIF(Clientes!$C$5:$C$170,A190)</f>
        <v/>
      </c>
      <c r="D190" s="123">
        <f>SUMIF(Clientes!$C$5:$C$170,A190,Clientes!$G$5:$G$170)</f>
        <v/>
      </c>
      <c r="E190" s="103">
        <f>VLOOKUP(A190,Catálogo!$A$5:$L$51,3,0)</f>
        <v/>
      </c>
      <c r="F190" s="118" t="n"/>
      <c r="G190" s="197" t="n"/>
    </row>
    <row r="191" ht="15" customHeight="1" s="37">
      <c r="A191" s="97" t="inlineStr">
        <is>
          <t>ABA-015</t>
        </is>
      </c>
      <c r="B191" s="97">
        <f>VLOOKUP(A191,Catálogo!$A$5:$L$51,2,0)</f>
        <v/>
      </c>
      <c r="C191" s="122">
        <f>COUNTIF(Clientes!$C$5:$C$170,A191)</f>
        <v/>
      </c>
      <c r="D191" s="123">
        <f>SUMIF(Clientes!$C$5:$C$170,A191,Clientes!$G$5:$G$170)</f>
        <v/>
      </c>
      <c r="E191" s="103">
        <f>VLOOKUP(A191,Catálogo!$A$5:$L$51,3,0)</f>
        <v/>
      </c>
      <c r="F191" s="118" t="n"/>
      <c r="G191" s="197" t="n"/>
    </row>
    <row r="192" ht="15" customHeight="1" s="37">
      <c r="A192" s="97" t="inlineStr">
        <is>
          <t>ABA-016</t>
        </is>
      </c>
      <c r="B192" s="97">
        <f>VLOOKUP(A192,Catálogo!$A$5:$L$51,2,0)</f>
        <v/>
      </c>
      <c r="C192" s="122">
        <f>COUNTIF(Clientes!$C$5:$C$170,A192)</f>
        <v/>
      </c>
      <c r="D192" s="123">
        <f>SUMIF(Clientes!$C$5:$C$170,A192,Clientes!$G$5:$G$170)</f>
        <v/>
      </c>
      <c r="E192" s="103">
        <f>VLOOKUP(A192,Catálogo!$A$5:$L$51,3,0)</f>
        <v/>
      </c>
      <c r="F192" s="118" t="n"/>
      <c r="G192" s="197" t="n"/>
    </row>
    <row r="193" ht="15" customHeight="1" s="37">
      <c r="A193" s="97" t="inlineStr">
        <is>
          <t>LAC-013</t>
        </is>
      </c>
      <c r="B193" s="97">
        <f>VLOOKUP(A193,Catálogo!$A$5:$L$51,2,0)</f>
        <v/>
      </c>
      <c r="C193" s="122">
        <f>COUNTIF(Clientes!$C$5:$C$170,A193)</f>
        <v/>
      </c>
      <c r="D193" s="123">
        <f>SUMIF(Clientes!$C$5:$C$170,A193,Clientes!$G$5:$G$170)</f>
        <v/>
      </c>
      <c r="E193" s="103">
        <f>VLOOKUP(A193,Catálogo!$A$5:$L$51,3,0)</f>
        <v/>
      </c>
      <c r="F193" s="118" t="n"/>
      <c r="G193" s="197" t="n"/>
    </row>
    <row r="194" ht="15" customHeight="1" s="37">
      <c r="A194" s="97" t="inlineStr">
        <is>
          <t>ABA-001</t>
        </is>
      </c>
      <c r="B194" s="97">
        <f>VLOOKUP(A194,Catálogo!$A$5:$L$51,2,0)</f>
        <v/>
      </c>
      <c r="C194" s="122">
        <f>COUNTIF(Clientes!$C$5:$C$170,A194)</f>
        <v/>
      </c>
      <c r="D194" s="123">
        <f>SUMIF(Clientes!$C$5:$C$170,A194,Clientes!$G$5:$G$170)</f>
        <v/>
      </c>
      <c r="E194" s="103">
        <f>VLOOKUP(A194,Catálogo!$A$5:$L$51,3,0)</f>
        <v/>
      </c>
      <c r="F194" s="118" t="n"/>
      <c r="G194" s="197" t="n"/>
    </row>
    <row r="195" ht="15" customHeight="1" s="37">
      <c r="A195" s="97" t="inlineStr">
        <is>
          <t>ABA-002</t>
        </is>
      </c>
      <c r="B195" s="97">
        <f>VLOOKUP(A195,Catálogo!$A$5:$L$51,2,0)</f>
        <v/>
      </c>
      <c r="C195" s="122">
        <f>COUNTIF(Clientes!$C$5:$C$170,A195)</f>
        <v/>
      </c>
      <c r="D195" s="123">
        <f>SUMIF(Clientes!$C$5:$C$170,A195,Clientes!$G$5:$G$170)</f>
        <v/>
      </c>
      <c r="E195" s="103">
        <f>VLOOKUP(A195,Catálogo!$A$5:$L$51,3,0)</f>
        <v/>
      </c>
      <c r="F195" s="118" t="n"/>
      <c r="G195" s="197" t="n"/>
    </row>
    <row r="196" ht="15" customHeight="1" s="37">
      <c r="A196" s="97" t="inlineStr">
        <is>
          <t>ABA-010</t>
        </is>
      </c>
      <c r="B196" s="97">
        <f>VLOOKUP(A196,Catálogo!$A$5:$L$51,2,0)</f>
        <v/>
      </c>
      <c r="C196" s="122">
        <f>COUNTIF(Clientes!$C$5:$C$170,A196)</f>
        <v/>
      </c>
      <c r="D196" s="123">
        <f>SUMIF(Clientes!$C$5:$C$170,A196,Clientes!$G$5:$G$170)</f>
        <v/>
      </c>
      <c r="E196" s="103">
        <f>VLOOKUP(A196,Catálogo!$A$5:$L$51,3,0)</f>
        <v/>
      </c>
      <c r="F196" s="118" t="n"/>
      <c r="G196" s="197" t="n"/>
    </row>
    <row r="197" ht="15" customHeight="1" s="37">
      <c r="A197" s="97" t="inlineStr">
        <is>
          <t>ABA-012</t>
        </is>
      </c>
      <c r="B197" s="97">
        <f>VLOOKUP(A197,Catálogo!$A$5:$L$51,2,0)</f>
        <v/>
      </c>
      <c r="C197" s="122">
        <f>COUNTIF(Clientes!$C$5:$C$170,A197)</f>
        <v/>
      </c>
      <c r="D197" s="123">
        <f>SUMIF(Clientes!$C$5:$C$170,A197,Clientes!$G$5:$G$170)</f>
        <v/>
      </c>
      <c r="E197" s="103">
        <f>VLOOKUP(A197,Catálogo!$A$5:$L$51,3,0)</f>
        <v/>
      </c>
      <c r="F197" s="118" t="n"/>
      <c r="G197" s="197" t="n"/>
    </row>
    <row r="198" ht="15" customHeight="1" s="37">
      <c r="A198" s="97" t="inlineStr">
        <is>
          <t>LAC-003</t>
        </is>
      </c>
      <c r="B198" s="97">
        <f>VLOOKUP(A198,Catálogo!$A$5:$L$51,2,0)</f>
        <v/>
      </c>
      <c r="C198" s="122">
        <f>COUNTIF(Clientes!$C$5:$C$170,A198)</f>
        <v/>
      </c>
      <c r="D198" s="123">
        <f>SUMIF(Clientes!$C$5:$C$170,A198,Clientes!$G$5:$G$170)</f>
        <v/>
      </c>
      <c r="E198" s="103">
        <f>VLOOKUP(A198,Catálogo!$A$5:$L$51,3,0)</f>
        <v/>
      </c>
      <c r="F198" s="118" t="n"/>
      <c r="G198" s="197" t="n"/>
    </row>
    <row r="199" ht="15" customHeight="1" s="37">
      <c r="A199" s="97" t="inlineStr">
        <is>
          <t>EMB-006</t>
        </is>
      </c>
      <c r="B199" s="97">
        <f>VLOOKUP(A199,Catálogo!$A$5:$L$51,2,0)</f>
        <v/>
      </c>
      <c r="C199" s="122">
        <f>COUNTIF(Clientes!$C$5:$C$170,A199)</f>
        <v/>
      </c>
      <c r="D199" s="123">
        <f>SUMIF(Clientes!$C$5:$C$170,A199,Clientes!$G$5:$G$170)</f>
        <v/>
      </c>
      <c r="E199" s="103">
        <f>VLOOKUP(A199,Catálogo!$A$5:$L$51,3,0)</f>
        <v/>
      </c>
      <c r="F199" s="118" t="n"/>
      <c r="G199" s="197" t="n"/>
    </row>
    <row r="200" ht="15" customHeight="1" s="37">
      <c r="A200" s="97" t="inlineStr">
        <is>
          <t>EMB-011</t>
        </is>
      </c>
      <c r="B200" s="97">
        <f>VLOOKUP(A200,Catálogo!$A$5:$L$51,2,0)</f>
        <v/>
      </c>
      <c r="C200" s="122">
        <f>COUNTIF(Clientes!$C$5:$C$170,A200)</f>
        <v/>
      </c>
      <c r="D200" s="123">
        <f>SUMIF(Clientes!$C$5:$C$170,A200,Clientes!$G$5:$G$170)</f>
        <v/>
      </c>
      <c r="E200" s="103">
        <f>VLOOKUP(A200,Catálogo!$A$5:$L$51,3,0)</f>
        <v/>
      </c>
      <c r="F200" s="118" t="n"/>
      <c r="G200" s="197" t="n"/>
    </row>
    <row r="201" ht="15" customHeight="1" s="37">
      <c r="A201" s="97" t="inlineStr">
        <is>
          <t>ABA-004</t>
        </is>
      </c>
      <c r="B201" s="97">
        <f>VLOOKUP(A201,Catálogo!$A$5:$L$51,2,0)</f>
        <v/>
      </c>
      <c r="C201" s="122">
        <f>COUNTIF(Clientes!$C$5:$C$170,A201)</f>
        <v/>
      </c>
      <c r="D201" s="123">
        <f>SUMIF(Clientes!$C$5:$C$170,A201,Clientes!$G$5:$G$170)</f>
        <v/>
      </c>
      <c r="E201" s="103">
        <f>VLOOKUP(A201,Catálogo!$A$5:$L$51,3,0)</f>
        <v/>
      </c>
      <c r="F201" s="118" t="n"/>
      <c r="G201" s="197" t="n"/>
    </row>
    <row r="202" ht="15" customHeight="1" s="37">
      <c r="A202" s="97" t="inlineStr">
        <is>
          <t>ABA-005</t>
        </is>
      </c>
      <c r="B202" s="97">
        <f>VLOOKUP(A202,Catálogo!$A$5:$L$51,2,0)</f>
        <v/>
      </c>
      <c r="C202" s="122">
        <f>COUNTIF(Clientes!$C$5:$C$170,A202)</f>
        <v/>
      </c>
      <c r="D202" s="123">
        <f>SUMIF(Clientes!$C$5:$C$170,A202,Clientes!$G$5:$G$170)</f>
        <v/>
      </c>
      <c r="E202" s="103">
        <f>VLOOKUP(A202,Catálogo!$A$5:$L$51,3,0)</f>
        <v/>
      </c>
      <c r="F202" s="118" t="n"/>
      <c r="G202" s="197" t="n"/>
    </row>
    <row r="203" ht="15" customHeight="1" s="37">
      <c r="A203" s="97" t="inlineStr">
        <is>
          <t>ABA-013</t>
        </is>
      </c>
      <c r="B203" s="97">
        <f>VLOOKUP(A203,Catálogo!$A$5:$L$51,2,0)</f>
        <v/>
      </c>
      <c r="C203" s="122">
        <f>COUNTIF(Clientes!$C$5:$C$170,A203)</f>
        <v/>
      </c>
      <c r="D203" s="123">
        <f>SUMIF(Clientes!$C$5:$C$170,A203,Clientes!$G$5:$G$170)</f>
        <v/>
      </c>
      <c r="E203" s="103">
        <f>VLOOKUP(A203,Catálogo!$A$5:$L$51,3,0)</f>
        <v/>
      </c>
      <c r="F203" s="118" t="n"/>
      <c r="G203" s="197" t="n"/>
    </row>
    <row r="204" ht="15" customHeight="1" s="37">
      <c r="A204" s="97" t="inlineStr">
        <is>
          <t>LAC-004</t>
        </is>
      </c>
      <c r="B204" s="97">
        <f>VLOOKUP(A204,Catálogo!$A$5:$L$51,2,0)</f>
        <v/>
      </c>
      <c r="C204" s="122">
        <f>COUNTIF(Clientes!$C$5:$C$170,A204)</f>
        <v/>
      </c>
      <c r="D204" s="123">
        <f>SUMIF(Clientes!$C$5:$C$170,A204,Clientes!$G$5:$G$170)</f>
        <v/>
      </c>
      <c r="E204" s="103">
        <f>VLOOKUP(A204,Catálogo!$A$5:$L$51,3,0)</f>
        <v/>
      </c>
      <c r="F204" s="118" t="n"/>
      <c r="G204" s="197" t="n"/>
    </row>
    <row r="205" ht="15" customHeight="1" s="37">
      <c r="A205" s="97" t="inlineStr">
        <is>
          <t>LAC-006</t>
        </is>
      </c>
      <c r="B205" s="97">
        <f>VLOOKUP(A205,Catálogo!$A$5:$L$51,2,0)</f>
        <v/>
      </c>
      <c r="C205" s="122">
        <f>COUNTIF(Clientes!$C$5:$C$170,A205)</f>
        <v/>
      </c>
      <c r="D205" s="123">
        <f>SUMIF(Clientes!$C$5:$C$170,A205,Clientes!$G$5:$G$170)</f>
        <v/>
      </c>
      <c r="E205" s="103">
        <f>VLOOKUP(A205,Catálogo!$A$5:$L$51,3,0)</f>
        <v/>
      </c>
      <c r="F205" s="118" t="n"/>
      <c r="G205" s="197" t="n"/>
    </row>
    <row r="206" ht="15" customHeight="1" s="37">
      <c r="A206" s="97" t="inlineStr">
        <is>
          <t>LAC-010</t>
        </is>
      </c>
      <c r="B206" s="97">
        <f>VLOOKUP(A206,Catálogo!$A$5:$L$51,2,0)</f>
        <v/>
      </c>
      <c r="C206" s="122">
        <f>COUNTIF(Clientes!$C$5:$C$170,A206)</f>
        <v/>
      </c>
      <c r="D206" s="123">
        <f>SUMIF(Clientes!$C$5:$C$170,A206,Clientes!$G$5:$G$170)</f>
        <v/>
      </c>
      <c r="E206" s="103">
        <f>VLOOKUP(A206,Catálogo!$A$5:$L$51,3,0)</f>
        <v/>
      </c>
      <c r="F206" s="118" t="n"/>
      <c r="G206" s="197" t="n"/>
    </row>
    <row r="207" ht="15" customHeight="1" s="37">
      <c r="A207" s="97" t="inlineStr">
        <is>
          <t>LAC-011</t>
        </is>
      </c>
      <c r="B207" s="97">
        <f>VLOOKUP(A207,Catálogo!$A$5:$L$51,2,0)</f>
        <v/>
      </c>
      <c r="C207" s="122">
        <f>COUNTIF(Clientes!$C$5:$C$170,A207)</f>
        <v/>
      </c>
      <c r="D207" s="123">
        <f>SUMIF(Clientes!$C$5:$C$170,A207,Clientes!$G$5:$G$170)</f>
        <v/>
      </c>
      <c r="E207" s="103">
        <f>VLOOKUP(A207,Catálogo!$A$5:$L$51,3,0)</f>
        <v/>
      </c>
      <c r="F207" s="118" t="n"/>
      <c r="G207" s="197" t="n"/>
    </row>
    <row r="208" ht="15" customHeight="1" s="37">
      <c r="A208" s="97" t="inlineStr">
        <is>
          <t>LAC-012</t>
        </is>
      </c>
      <c r="B208" s="97">
        <f>VLOOKUP(A208,Catálogo!$A$5:$L$51,2,0)</f>
        <v/>
      </c>
      <c r="C208" s="122">
        <f>COUNTIF(Clientes!$C$5:$C$170,A208)</f>
        <v/>
      </c>
      <c r="D208" s="123">
        <f>SUMIF(Clientes!$C$5:$C$170,A208,Clientes!$G$5:$G$170)</f>
        <v/>
      </c>
      <c r="E208" s="103">
        <f>VLOOKUP(A208,Catálogo!$A$5:$L$51,3,0)</f>
        <v/>
      </c>
      <c r="F208" s="118" t="n"/>
      <c r="G208" s="197" t="n"/>
    </row>
    <row r="209" ht="15" customHeight="1" s="37">
      <c r="A209" s="97" t="inlineStr">
        <is>
          <t>EMB-001</t>
        </is>
      </c>
      <c r="B209" s="97">
        <f>VLOOKUP(A209,Catálogo!$A$5:$L$51,2,0)</f>
        <v/>
      </c>
      <c r="C209" s="122">
        <f>COUNTIF(Clientes!$C$5:$C$170,A209)</f>
        <v/>
      </c>
      <c r="D209" s="123">
        <f>SUMIF(Clientes!$C$5:$C$170,A209,Clientes!$G$5:$G$170)</f>
        <v/>
      </c>
      <c r="E209" s="103">
        <f>VLOOKUP(A209,Catálogo!$A$5:$L$51,3,0)</f>
        <v/>
      </c>
      <c r="F209" s="118" t="n"/>
      <c r="G209" s="197" t="n"/>
    </row>
    <row r="210" ht="15" customHeight="1" s="37">
      <c r="A210" s="97" t="inlineStr">
        <is>
          <t>EMB-009</t>
        </is>
      </c>
      <c r="B210" s="97">
        <f>VLOOKUP(A210,Catálogo!$A$5:$L$51,2,0)</f>
        <v/>
      </c>
      <c r="C210" s="122">
        <f>COUNTIF(Clientes!$C$5:$C$170,A210)</f>
        <v/>
      </c>
      <c r="D210" s="123">
        <f>SUMIF(Clientes!$C$5:$C$170,A210,Clientes!$G$5:$G$170)</f>
        <v/>
      </c>
      <c r="E210" s="103">
        <f>VLOOKUP(A210,Catálogo!$A$5:$L$51,3,0)</f>
        <v/>
      </c>
      <c r="F210" s="118" t="n"/>
      <c r="G210" s="197" t="n"/>
    </row>
    <row r="211" ht="15" customHeight="1" s="37">
      <c r="A211" s="97" t="inlineStr">
        <is>
          <t>ABA-006</t>
        </is>
      </c>
      <c r="B211" s="97">
        <f>VLOOKUP(A211,Catálogo!$A$5:$L$51,2,0)</f>
        <v/>
      </c>
      <c r="C211" s="122">
        <f>COUNTIF(Clientes!$C$5:$C$170,A211)</f>
        <v/>
      </c>
      <c r="D211" s="123">
        <f>SUMIF(Clientes!$C$5:$C$170,A211,Clientes!$G$5:$G$170)</f>
        <v/>
      </c>
      <c r="E211" s="103">
        <f>VLOOKUP(A211,Catálogo!$A$5:$L$51,3,0)</f>
        <v/>
      </c>
      <c r="F211" s="118" t="n"/>
      <c r="G211" s="197" t="n"/>
    </row>
    <row r="212" ht="15" customHeight="1" s="37">
      <c r="A212" s="97" t="inlineStr">
        <is>
          <t>ABA-014</t>
        </is>
      </c>
      <c r="B212" s="97">
        <f>VLOOKUP(A212,Catálogo!$A$5:$L$51,2,0)</f>
        <v/>
      </c>
      <c r="C212" s="122">
        <f>COUNTIF(Clientes!$C$5:$C$170,A212)</f>
        <v/>
      </c>
      <c r="D212" s="123">
        <f>SUMIF(Clientes!$C$5:$C$170,A212,Clientes!$G$5:$G$170)</f>
        <v/>
      </c>
      <c r="E212" s="103">
        <f>VLOOKUP(A212,Catálogo!$A$5:$L$51,3,0)</f>
        <v/>
      </c>
      <c r="F212" s="118" t="n"/>
      <c r="G212" s="197" t="n"/>
    </row>
    <row r="213" ht="15" customHeight="1" s="37">
      <c r="A213" s="97" t="inlineStr">
        <is>
          <t>LAC-002</t>
        </is>
      </c>
      <c r="B213" s="97">
        <f>VLOOKUP(A213,Catálogo!$A$5:$L$51,2,0)</f>
        <v/>
      </c>
      <c r="C213" s="122">
        <f>COUNTIF(Clientes!$C$5:$C$170,A213)</f>
        <v/>
      </c>
      <c r="D213" s="123">
        <f>SUMIF(Clientes!$C$5:$C$170,A213,Clientes!$G$5:$G$170)</f>
        <v/>
      </c>
      <c r="E213" s="103">
        <f>VLOOKUP(A213,Catálogo!$A$5:$L$51,3,0)</f>
        <v/>
      </c>
      <c r="F213" s="118" t="n"/>
      <c r="G213" s="197" t="n"/>
    </row>
    <row r="214" ht="15" customHeight="1" s="37">
      <c r="A214" s="97" t="inlineStr">
        <is>
          <t>LAC-009</t>
        </is>
      </c>
      <c r="B214" s="97">
        <f>VLOOKUP(A214,Catálogo!$A$5:$L$51,2,0)</f>
        <v/>
      </c>
      <c r="C214" s="122">
        <f>COUNTIF(Clientes!$C$5:$C$170,A214)</f>
        <v/>
      </c>
      <c r="D214" s="123">
        <f>SUMIF(Clientes!$C$5:$C$170,A214,Clientes!$G$5:$G$170)</f>
        <v/>
      </c>
      <c r="E214" s="103">
        <f>VLOOKUP(A214,Catálogo!$A$5:$L$51,3,0)</f>
        <v/>
      </c>
      <c r="F214" s="118" t="n"/>
      <c r="G214" s="197" t="n"/>
    </row>
    <row r="215" ht="15" customHeight="1" s="37">
      <c r="A215" s="97" t="inlineStr">
        <is>
          <t>LAC-014</t>
        </is>
      </c>
      <c r="B215" s="97">
        <f>VLOOKUP(A215,Catálogo!$A$5:$L$51,2,0)</f>
        <v/>
      </c>
      <c r="C215" s="122">
        <f>COUNTIF(Clientes!$C$5:$C$170,A215)</f>
        <v/>
      </c>
      <c r="D215" s="123">
        <f>SUMIF(Clientes!$C$5:$C$170,A215,Clientes!$G$5:$G$170)</f>
        <v/>
      </c>
      <c r="E215" s="103">
        <f>VLOOKUP(A215,Catálogo!$A$5:$L$51,3,0)</f>
        <v/>
      </c>
      <c r="F215" s="118" t="n"/>
      <c r="G215" s="197" t="n"/>
    </row>
    <row r="216" ht="15" customHeight="1" s="37">
      <c r="A216" s="97" t="inlineStr">
        <is>
          <t>LAC-016</t>
        </is>
      </c>
      <c r="B216" s="97">
        <f>VLOOKUP(A216,Catálogo!$A$5:$L$51,2,0)</f>
        <v/>
      </c>
      <c r="C216" s="122">
        <f>COUNTIF(Clientes!$C$5:$C$170,A216)</f>
        <v/>
      </c>
      <c r="D216" s="123">
        <f>SUMIF(Clientes!$C$5:$C$170,A216,Clientes!$G$5:$G$170)</f>
        <v/>
      </c>
      <c r="E216" s="103">
        <f>VLOOKUP(A216,Catálogo!$A$5:$L$51,3,0)</f>
        <v/>
      </c>
      <c r="F216" s="118" t="n"/>
      <c r="G216" s="197" t="n"/>
    </row>
    <row r="217" ht="15" customHeight="1" s="37">
      <c r="A217" s="97" t="inlineStr">
        <is>
          <t>EMB-003</t>
        </is>
      </c>
      <c r="B217" s="97">
        <f>VLOOKUP(A217,Catálogo!$A$5:$L$51,2,0)</f>
        <v/>
      </c>
      <c r="C217" s="122">
        <f>COUNTIF(Clientes!$C$5:$C$170,A217)</f>
        <v/>
      </c>
      <c r="D217" s="123">
        <f>SUMIF(Clientes!$C$5:$C$170,A217,Clientes!$G$5:$G$170)</f>
        <v/>
      </c>
      <c r="E217" s="103">
        <f>VLOOKUP(A217,Catálogo!$A$5:$L$51,3,0)</f>
        <v/>
      </c>
      <c r="F217" s="118" t="n"/>
      <c r="G217" s="197" t="n"/>
    </row>
    <row r="218" ht="15" customHeight="1" s="37">
      <c r="A218" s="97" t="inlineStr">
        <is>
          <t>EMB-004</t>
        </is>
      </c>
      <c r="B218" s="97">
        <f>VLOOKUP(A218,Catálogo!$A$5:$L$51,2,0)</f>
        <v/>
      </c>
      <c r="C218" s="122">
        <f>COUNTIF(Clientes!$C$5:$C$170,A218)</f>
        <v/>
      </c>
      <c r="D218" s="123">
        <f>SUMIF(Clientes!$C$5:$C$170,A218,Clientes!$G$5:$G$170)</f>
        <v/>
      </c>
      <c r="E218" s="103">
        <f>VLOOKUP(A218,Catálogo!$A$5:$L$51,3,0)</f>
        <v/>
      </c>
      <c r="F218" s="118" t="n"/>
      <c r="G218" s="197" t="n"/>
    </row>
    <row r="219" ht="15" customHeight="1" s="37">
      <c r="A219" s="97" t="inlineStr">
        <is>
          <t>EMB-012</t>
        </is>
      </c>
      <c r="B219" s="97">
        <f>VLOOKUP(A219,Catálogo!$A$5:$L$51,2,0)</f>
        <v/>
      </c>
      <c r="C219" s="122">
        <f>COUNTIF(Clientes!$C$5:$C$170,A219)</f>
        <v/>
      </c>
      <c r="D219" s="123">
        <f>SUMIF(Clientes!$C$5:$C$170,A219,Clientes!$G$5:$G$170)</f>
        <v/>
      </c>
      <c r="E219" s="103">
        <f>VLOOKUP(A219,Catálogo!$A$5:$L$51,3,0)</f>
        <v/>
      </c>
      <c r="F219" s="118" t="n"/>
      <c r="G219" s="197" t="n"/>
    </row>
    <row r="220" ht="15" customHeight="1" s="37">
      <c r="A220" s="97" t="inlineStr">
        <is>
          <t>ABA-009</t>
        </is>
      </c>
      <c r="B220" s="97">
        <f>VLOOKUP(A220,Catálogo!$A$5:$L$51,2,0)</f>
        <v/>
      </c>
      <c r="C220" s="122">
        <f>COUNTIF(Clientes!$C$5:$C$170,A220)</f>
        <v/>
      </c>
      <c r="D220" s="123">
        <f>SUMIF(Clientes!$C$5:$C$170,A220,Clientes!$G$5:$G$170)</f>
        <v/>
      </c>
      <c r="E220" s="103">
        <f>VLOOKUP(A220,Catálogo!$A$5:$L$51,3,0)</f>
        <v/>
      </c>
      <c r="F220" s="118" t="n"/>
      <c r="G220" s="197" t="n"/>
    </row>
  </sheetData>
  <autoFilter ref="A4:G220"/>
  <mergeCells count="2">
    <mergeCell ref="A2:G2"/>
    <mergeCell ref="A1:G1"/>
  </mergeCell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8.xml><?xml version="1.0" encoding="utf-8"?>
<worksheet xmlns="http://schemas.openxmlformats.org/spreadsheetml/2006/main">
  <sheetPr filterMode="0">
    <outlinePr summaryBelow="1" summaryRight="1"/>
    <pageSetUpPr fitToPage="0"/>
  </sheetPr>
  <dimension ref="A1:K52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pane ySplit="4" topLeftCell="A5" activePane="bottomLeft" state="frozen"/>
      <selection pane="bottomLeft" activeCell="A1" activeCellId="0" sqref="A1"/>
    </sheetView>
  </sheetViews>
  <sheetFormatPr baseColWidth="8" defaultColWidth="8.6796875" defaultRowHeight="15" customHeight="0" zeroHeight="0" outlineLevelRow="0"/>
  <cols>
    <col width="11" customWidth="1" style="36" min="1" max="1"/>
    <col width="34" customWidth="1" style="36" min="2" max="2"/>
    <col width="13" customWidth="1" style="36" min="3" max="3"/>
    <col width="14" customWidth="1" style="36" min="4" max="5"/>
    <col width="14" customWidth="1" style="37" min="5" max="5"/>
    <col width="10" customWidth="1" style="36" min="6" max="6"/>
    <col width="10" customWidth="1" style="36" min="7" max="7"/>
    <col width="12" customWidth="1" style="36" min="8" max="8"/>
    <col width="12" customWidth="1" style="36" min="9" max="9"/>
    <col width="10" customWidth="1" style="36" min="10" max="10"/>
    <col width="8" customWidth="1" style="36" min="11" max="11"/>
  </cols>
  <sheetData>
    <row r="1" ht="32" customHeight="1" s="37">
      <c r="A1" s="91" t="inlineStr">
        <is>
          <t>Ventas por SKU — Mes Anterior vs. Mes Actual</t>
        </is>
      </c>
    </row>
    <row r="2" ht="22" customHeight="1" s="37">
      <c r="A2" s="74" t="inlineStr">
        <is>
          <t>El ingreso del mes es dato de entrada (azul). Costo, utilidad, margen y crecimiento se calculan.</t>
        </is>
      </c>
    </row>
    <row r="4" ht="32" customHeight="1" s="37">
      <c r="A4" s="52" t="inlineStr">
        <is>
          <t>SKU</t>
        </is>
      </c>
      <c r="B4" s="52" t="inlineStr">
        <is>
          <t>Producto</t>
        </is>
      </c>
      <c r="C4" s="52" t="inlineStr">
        <is>
          <t>Categoría</t>
        </is>
      </c>
      <c r="D4" s="52" t="inlineStr">
        <is>
          <t>Ingreso Mes Ant.</t>
        </is>
      </c>
      <c r="E4" s="52" t="inlineStr">
        <is>
          <t>Ingreso Mes Act.</t>
        </is>
      </c>
      <c r="F4" s="52" t="inlineStr">
        <is>
          <t>Crecim. %</t>
        </is>
      </c>
      <c r="G4" s="52" t="inlineStr">
        <is>
          <t>Unid. Mes Act.</t>
        </is>
      </c>
      <c r="H4" s="52" t="inlineStr">
        <is>
          <t>Costo Mes Act.</t>
        </is>
      </c>
      <c r="I4" s="52" t="inlineStr">
        <is>
          <t>Utilidad Mes Act.</t>
        </is>
      </c>
      <c r="J4" s="52" t="inlineStr">
        <is>
          <t>Margen %</t>
        </is>
      </c>
      <c r="K4" s="52" t="inlineStr">
        <is>
          <t>IVA %</t>
        </is>
      </c>
    </row>
    <row r="5" ht="15" customHeight="1" s="37">
      <c r="A5" s="97" t="inlineStr">
        <is>
          <t>LAC-001</t>
        </is>
      </c>
      <c r="B5" s="103">
        <f>VLOOKUP(A5,Catálogo!$A$5:$L$51,2,0)</f>
        <v/>
      </c>
      <c r="C5" s="103">
        <f>VLOOKUP(A5,Catálogo!$A$5:$L$51,3,0)</f>
        <v/>
      </c>
      <c r="D5" s="198" t="n">
        <v>3140</v>
      </c>
      <c r="E5" s="198" t="n">
        <v>3400</v>
      </c>
      <c r="F5" s="192">
        <f>IF(D5=0,0,(E5-D5)/D5)</f>
        <v/>
      </c>
      <c r="G5" s="105">
        <f>ROUND(E5/VLOOKUP(A5,Catálogo!$A$5:$L$51,6,0),0)</f>
        <v/>
      </c>
      <c r="H5" s="199">
        <f>G5*VLOOKUP(A5,Catálogo!$A$5:$L$51,5,0)</f>
        <v/>
      </c>
      <c r="I5" s="199">
        <f>E5-H5</f>
        <v/>
      </c>
      <c r="J5" s="200">
        <f>IF(E5=0,0,I5/E5)</f>
        <v/>
      </c>
      <c r="K5" s="108">
        <f>VLOOKUP(A5,Catálogo!$A$5:$L$51,9,0)</f>
        <v/>
      </c>
    </row>
    <row r="6" ht="15" customHeight="1" s="37">
      <c r="A6" s="97" t="inlineStr">
        <is>
          <t>LAC-002</t>
        </is>
      </c>
      <c r="B6" s="103">
        <f>VLOOKUP(A6,Catálogo!$A$5:$L$51,2,0)</f>
        <v/>
      </c>
      <c r="C6" s="103">
        <f>VLOOKUP(A6,Catálogo!$A$5:$L$51,3,0)</f>
        <v/>
      </c>
      <c r="D6" s="198" t="n">
        <v>6990</v>
      </c>
      <c r="E6" s="198" t="n">
        <v>7560</v>
      </c>
      <c r="F6" s="192">
        <f>IF(D6=0,0,(E6-D6)/D6)</f>
        <v/>
      </c>
      <c r="G6" s="105">
        <f>ROUND(E6/VLOOKUP(A6,Catálogo!$A$5:$L$51,6,0),0)</f>
        <v/>
      </c>
      <c r="H6" s="199">
        <f>G6*VLOOKUP(A6,Catálogo!$A$5:$L$51,5,0)</f>
        <v/>
      </c>
      <c r="I6" s="199">
        <f>E6-H6</f>
        <v/>
      </c>
      <c r="J6" s="200">
        <f>IF(E6=0,0,I6/E6)</f>
        <v/>
      </c>
      <c r="K6" s="108">
        <f>VLOOKUP(A6,Catálogo!$A$5:$L$51,9,0)</f>
        <v/>
      </c>
    </row>
    <row r="7" ht="15" customHeight="1" s="37">
      <c r="A7" s="97" t="inlineStr">
        <is>
          <t>LAC-003</t>
        </is>
      </c>
      <c r="B7" s="103">
        <f>VLOOKUP(A7,Catálogo!$A$5:$L$51,2,0)</f>
        <v/>
      </c>
      <c r="C7" s="103">
        <f>VLOOKUP(A7,Catálogo!$A$5:$L$51,3,0)</f>
        <v/>
      </c>
      <c r="D7" s="198" t="n">
        <v>5970</v>
      </c>
      <c r="E7" s="198" t="n">
        <v>6460</v>
      </c>
      <c r="F7" s="192">
        <f>IF(D7=0,0,(E7-D7)/D7)</f>
        <v/>
      </c>
      <c r="G7" s="105">
        <f>ROUND(E7/VLOOKUP(A7,Catálogo!$A$5:$L$51,6,0),0)</f>
        <v/>
      </c>
      <c r="H7" s="199">
        <f>G7*VLOOKUP(A7,Catálogo!$A$5:$L$51,5,0)</f>
        <v/>
      </c>
      <c r="I7" s="199">
        <f>E7-H7</f>
        <v/>
      </c>
      <c r="J7" s="200">
        <f>IF(E7=0,0,I7/E7)</f>
        <v/>
      </c>
      <c r="K7" s="108">
        <f>VLOOKUP(A7,Catálogo!$A$5:$L$51,9,0)</f>
        <v/>
      </c>
    </row>
    <row r="8" ht="15" customHeight="1" s="37">
      <c r="A8" s="97" t="inlineStr">
        <is>
          <t>LAC-004</t>
        </is>
      </c>
      <c r="B8" s="103">
        <f>VLOOKUP(A8,Catálogo!$A$5:$L$51,2,0)</f>
        <v/>
      </c>
      <c r="C8" s="103">
        <f>VLOOKUP(A8,Catálogo!$A$5:$L$51,3,0)</f>
        <v/>
      </c>
      <c r="D8" s="198" t="n">
        <v>6040</v>
      </c>
      <c r="E8" s="198" t="n">
        <v>6540</v>
      </c>
      <c r="F8" s="192">
        <f>IF(D8=0,0,(E8-D8)/D8)</f>
        <v/>
      </c>
      <c r="G8" s="105">
        <f>ROUND(E8/VLOOKUP(A8,Catálogo!$A$5:$L$51,6,0),0)</f>
        <v/>
      </c>
      <c r="H8" s="199">
        <f>G8*VLOOKUP(A8,Catálogo!$A$5:$L$51,5,0)</f>
        <v/>
      </c>
      <c r="I8" s="199">
        <f>E8-H8</f>
        <v/>
      </c>
      <c r="J8" s="200">
        <f>IF(E8=0,0,I8/E8)</f>
        <v/>
      </c>
      <c r="K8" s="108">
        <f>VLOOKUP(A8,Catálogo!$A$5:$L$51,9,0)</f>
        <v/>
      </c>
    </row>
    <row r="9" ht="15" customHeight="1" s="37">
      <c r="A9" s="97" t="inlineStr">
        <is>
          <t>LAC-005</t>
        </is>
      </c>
      <c r="B9" s="103">
        <f>VLOOKUP(A9,Catálogo!$A$5:$L$51,2,0)</f>
        <v/>
      </c>
      <c r="C9" s="103">
        <f>VLOOKUP(A9,Catálogo!$A$5:$L$51,3,0)</f>
        <v/>
      </c>
      <c r="D9" s="198" t="n">
        <v>3800</v>
      </c>
      <c r="E9" s="198" t="n">
        <v>4110</v>
      </c>
      <c r="F9" s="192">
        <f>IF(D9=0,0,(E9-D9)/D9)</f>
        <v/>
      </c>
      <c r="G9" s="105">
        <f>ROUND(E9/VLOOKUP(A9,Catálogo!$A$5:$L$51,6,0),0)</f>
        <v/>
      </c>
      <c r="H9" s="199">
        <f>G9*VLOOKUP(A9,Catálogo!$A$5:$L$51,5,0)</f>
        <v/>
      </c>
      <c r="I9" s="199">
        <f>E9-H9</f>
        <v/>
      </c>
      <c r="J9" s="200">
        <f>IF(E9=0,0,I9/E9)</f>
        <v/>
      </c>
      <c r="K9" s="108">
        <f>VLOOKUP(A9,Catálogo!$A$5:$L$51,9,0)</f>
        <v/>
      </c>
    </row>
    <row r="10" ht="15" customHeight="1" s="37">
      <c r="A10" s="97" t="inlineStr">
        <is>
          <t>LAC-006</t>
        </is>
      </c>
      <c r="B10" s="103">
        <f>VLOOKUP(A10,Catálogo!$A$5:$L$51,2,0)</f>
        <v/>
      </c>
      <c r="C10" s="103">
        <f>VLOOKUP(A10,Catálogo!$A$5:$L$51,3,0)</f>
        <v/>
      </c>
      <c r="D10" s="198" t="n">
        <v>4320</v>
      </c>
      <c r="E10" s="198" t="n">
        <v>4670</v>
      </c>
      <c r="F10" s="192">
        <f>IF(D10=0,0,(E10-D10)/D10)</f>
        <v/>
      </c>
      <c r="G10" s="105">
        <f>ROUND(E10/VLOOKUP(A10,Catálogo!$A$5:$L$51,6,0),0)</f>
        <v/>
      </c>
      <c r="H10" s="199">
        <f>G10*VLOOKUP(A10,Catálogo!$A$5:$L$51,5,0)</f>
        <v/>
      </c>
      <c r="I10" s="199">
        <f>E10-H10</f>
        <v/>
      </c>
      <c r="J10" s="200">
        <f>IF(E10=0,0,I10/E10)</f>
        <v/>
      </c>
      <c r="K10" s="108">
        <f>VLOOKUP(A10,Catálogo!$A$5:$L$51,9,0)</f>
        <v/>
      </c>
    </row>
    <row r="11" ht="15" customHeight="1" s="37">
      <c r="A11" s="97" t="inlineStr">
        <is>
          <t>LAC-007</t>
        </is>
      </c>
      <c r="B11" s="103">
        <f>VLOOKUP(A11,Catálogo!$A$5:$L$51,2,0)</f>
        <v/>
      </c>
      <c r="C11" s="103">
        <f>VLOOKUP(A11,Catálogo!$A$5:$L$51,3,0)</f>
        <v/>
      </c>
      <c r="D11" s="198" t="n">
        <v>4140</v>
      </c>
      <c r="E11" s="198" t="n">
        <v>4480</v>
      </c>
      <c r="F11" s="192">
        <f>IF(D11=0,0,(E11-D11)/D11)</f>
        <v/>
      </c>
      <c r="G11" s="105">
        <f>ROUND(E11/VLOOKUP(A11,Catálogo!$A$5:$L$51,6,0),0)</f>
        <v/>
      </c>
      <c r="H11" s="199">
        <f>G11*VLOOKUP(A11,Catálogo!$A$5:$L$51,5,0)</f>
        <v/>
      </c>
      <c r="I11" s="199">
        <f>E11-H11</f>
        <v/>
      </c>
      <c r="J11" s="200">
        <f>IF(E11=0,0,I11/E11)</f>
        <v/>
      </c>
      <c r="K11" s="108">
        <f>VLOOKUP(A11,Catálogo!$A$5:$L$51,9,0)</f>
        <v/>
      </c>
    </row>
    <row r="12" ht="15" customHeight="1" s="37">
      <c r="A12" s="97" t="inlineStr">
        <is>
          <t>LAC-008</t>
        </is>
      </c>
      <c r="B12" s="103">
        <f>VLOOKUP(A12,Catálogo!$A$5:$L$51,2,0)</f>
        <v/>
      </c>
      <c r="C12" s="103">
        <f>VLOOKUP(A12,Catálogo!$A$5:$L$51,3,0)</f>
        <v/>
      </c>
      <c r="D12" s="198" t="n">
        <v>5970</v>
      </c>
      <c r="E12" s="198" t="n">
        <v>6460</v>
      </c>
      <c r="F12" s="192">
        <f>IF(D12=0,0,(E12-D12)/D12)</f>
        <v/>
      </c>
      <c r="G12" s="105">
        <f>ROUND(E12/VLOOKUP(A12,Catálogo!$A$5:$L$51,6,0),0)</f>
        <v/>
      </c>
      <c r="H12" s="199">
        <f>G12*VLOOKUP(A12,Catálogo!$A$5:$L$51,5,0)</f>
        <v/>
      </c>
      <c r="I12" s="199">
        <f>E12-H12</f>
        <v/>
      </c>
      <c r="J12" s="200">
        <f>IF(E12=0,0,I12/E12)</f>
        <v/>
      </c>
      <c r="K12" s="108">
        <f>VLOOKUP(A12,Catálogo!$A$5:$L$51,9,0)</f>
        <v/>
      </c>
    </row>
    <row r="13" ht="15" customHeight="1" s="37">
      <c r="A13" s="97" t="inlineStr">
        <is>
          <t>LAC-009</t>
        </is>
      </c>
      <c r="B13" s="103">
        <f>VLOOKUP(A13,Catálogo!$A$5:$L$51,2,0)</f>
        <v/>
      </c>
      <c r="C13" s="103">
        <f>VLOOKUP(A13,Catálogo!$A$5:$L$51,3,0)</f>
        <v/>
      </c>
      <c r="D13" s="198" t="n">
        <v>3090</v>
      </c>
      <c r="E13" s="198" t="n">
        <v>3340</v>
      </c>
      <c r="F13" s="192">
        <f>IF(D13=0,0,(E13-D13)/D13)</f>
        <v/>
      </c>
      <c r="G13" s="105">
        <f>ROUND(E13/VLOOKUP(A13,Catálogo!$A$5:$L$51,6,0),0)</f>
        <v/>
      </c>
      <c r="H13" s="199">
        <f>G13*VLOOKUP(A13,Catálogo!$A$5:$L$51,5,0)</f>
        <v/>
      </c>
      <c r="I13" s="199">
        <f>E13-H13</f>
        <v/>
      </c>
      <c r="J13" s="200">
        <f>IF(E13=0,0,I13/E13)</f>
        <v/>
      </c>
      <c r="K13" s="108">
        <f>VLOOKUP(A13,Catálogo!$A$5:$L$51,9,0)</f>
        <v/>
      </c>
    </row>
    <row r="14" ht="15" customHeight="1" s="37">
      <c r="A14" s="97" t="inlineStr">
        <is>
          <t>LAC-010</t>
        </is>
      </c>
      <c r="B14" s="103">
        <f>VLOOKUP(A14,Catálogo!$A$5:$L$51,2,0)</f>
        <v/>
      </c>
      <c r="C14" s="103">
        <f>VLOOKUP(A14,Catálogo!$A$5:$L$51,3,0)</f>
        <v/>
      </c>
      <c r="D14" s="198" t="n">
        <v>4110</v>
      </c>
      <c r="E14" s="198" t="n">
        <v>4450</v>
      </c>
      <c r="F14" s="192">
        <f>IF(D14=0,0,(E14-D14)/D14)</f>
        <v/>
      </c>
      <c r="G14" s="105">
        <f>ROUND(E14/VLOOKUP(A14,Catálogo!$A$5:$L$51,6,0),0)</f>
        <v/>
      </c>
      <c r="H14" s="199">
        <f>G14*VLOOKUP(A14,Catálogo!$A$5:$L$51,5,0)</f>
        <v/>
      </c>
      <c r="I14" s="199">
        <f>E14-H14</f>
        <v/>
      </c>
      <c r="J14" s="200">
        <f>IF(E14=0,0,I14/E14)</f>
        <v/>
      </c>
      <c r="K14" s="108">
        <f>VLOOKUP(A14,Catálogo!$A$5:$L$51,9,0)</f>
        <v/>
      </c>
    </row>
    <row r="15" ht="15" customHeight="1" s="37">
      <c r="A15" s="97" t="inlineStr">
        <is>
          <t>LAC-011</t>
        </is>
      </c>
      <c r="B15" s="103">
        <f>VLOOKUP(A15,Catálogo!$A$5:$L$51,2,0)</f>
        <v/>
      </c>
      <c r="C15" s="103">
        <f>VLOOKUP(A15,Catálogo!$A$5:$L$51,3,0)</f>
        <v/>
      </c>
      <c r="D15" s="198" t="n">
        <v>8500</v>
      </c>
      <c r="E15" s="198" t="n">
        <v>9200</v>
      </c>
      <c r="F15" s="192">
        <f>IF(D15=0,0,(E15-D15)/D15)</f>
        <v/>
      </c>
      <c r="G15" s="105">
        <f>ROUND(E15/VLOOKUP(A15,Catálogo!$A$5:$L$51,6,0),0)</f>
        <v/>
      </c>
      <c r="H15" s="199">
        <f>G15*VLOOKUP(A15,Catálogo!$A$5:$L$51,5,0)</f>
        <v/>
      </c>
      <c r="I15" s="199">
        <f>E15-H15</f>
        <v/>
      </c>
      <c r="J15" s="200">
        <f>IF(E15=0,0,I15/E15)</f>
        <v/>
      </c>
      <c r="K15" s="108">
        <f>VLOOKUP(A15,Catálogo!$A$5:$L$51,9,0)</f>
        <v/>
      </c>
    </row>
    <row r="16" ht="15" customHeight="1" s="37">
      <c r="A16" s="97" t="inlineStr">
        <is>
          <t>LAC-012</t>
        </is>
      </c>
      <c r="B16" s="103">
        <f>VLOOKUP(A16,Catálogo!$A$5:$L$51,2,0)</f>
        <v/>
      </c>
      <c r="C16" s="103">
        <f>VLOOKUP(A16,Catálogo!$A$5:$L$51,3,0)</f>
        <v/>
      </c>
      <c r="D16" s="198" t="n">
        <v>3530</v>
      </c>
      <c r="E16" s="198" t="n">
        <v>3820</v>
      </c>
      <c r="F16" s="192">
        <f>IF(D16=0,0,(E16-D16)/D16)</f>
        <v/>
      </c>
      <c r="G16" s="105">
        <f>ROUND(E16/VLOOKUP(A16,Catálogo!$A$5:$L$51,6,0),0)</f>
        <v/>
      </c>
      <c r="H16" s="199">
        <f>G16*VLOOKUP(A16,Catálogo!$A$5:$L$51,5,0)</f>
        <v/>
      </c>
      <c r="I16" s="199">
        <f>E16-H16</f>
        <v/>
      </c>
      <c r="J16" s="200">
        <f>IF(E16=0,0,I16/E16)</f>
        <v/>
      </c>
      <c r="K16" s="108">
        <f>VLOOKUP(A16,Catálogo!$A$5:$L$51,9,0)</f>
        <v/>
      </c>
    </row>
    <row r="17" ht="15" customHeight="1" s="37">
      <c r="A17" s="97" t="inlineStr">
        <is>
          <t>LAC-013</t>
        </is>
      </c>
      <c r="B17" s="103">
        <f>VLOOKUP(A17,Catálogo!$A$5:$L$51,2,0)</f>
        <v/>
      </c>
      <c r="C17" s="103">
        <f>VLOOKUP(A17,Catálogo!$A$5:$L$51,3,0)</f>
        <v/>
      </c>
      <c r="D17" s="198" t="n">
        <v>6780</v>
      </c>
      <c r="E17" s="198" t="n">
        <v>7340</v>
      </c>
      <c r="F17" s="192">
        <f>IF(D17=0,0,(E17-D17)/D17)</f>
        <v/>
      </c>
      <c r="G17" s="105">
        <f>ROUND(E17/VLOOKUP(A17,Catálogo!$A$5:$L$51,6,0),0)</f>
        <v/>
      </c>
      <c r="H17" s="199">
        <f>G17*VLOOKUP(A17,Catálogo!$A$5:$L$51,5,0)</f>
        <v/>
      </c>
      <c r="I17" s="199">
        <f>E17-H17</f>
        <v/>
      </c>
      <c r="J17" s="200">
        <f>IF(E17=0,0,I17/E17)</f>
        <v/>
      </c>
      <c r="K17" s="108">
        <f>VLOOKUP(A17,Catálogo!$A$5:$L$51,9,0)</f>
        <v/>
      </c>
    </row>
    <row r="18" ht="15" customHeight="1" s="37">
      <c r="A18" s="97" t="inlineStr">
        <is>
          <t>LAC-014</t>
        </is>
      </c>
      <c r="B18" s="103">
        <f>VLOOKUP(A18,Catálogo!$A$5:$L$51,2,0)</f>
        <v/>
      </c>
      <c r="C18" s="103">
        <f>VLOOKUP(A18,Catálogo!$A$5:$L$51,3,0)</f>
        <v/>
      </c>
      <c r="D18" s="198" t="n">
        <v>7260</v>
      </c>
      <c r="E18" s="198" t="n">
        <v>7860</v>
      </c>
      <c r="F18" s="192">
        <f>IF(D18=0,0,(E18-D18)/D18)</f>
        <v/>
      </c>
      <c r="G18" s="105">
        <f>ROUND(E18/VLOOKUP(A18,Catálogo!$A$5:$L$51,6,0),0)</f>
        <v/>
      </c>
      <c r="H18" s="199">
        <f>G18*VLOOKUP(A18,Catálogo!$A$5:$L$51,5,0)</f>
        <v/>
      </c>
      <c r="I18" s="199">
        <f>E18-H18</f>
        <v/>
      </c>
      <c r="J18" s="200">
        <f>IF(E18=0,0,I18/E18)</f>
        <v/>
      </c>
      <c r="K18" s="108">
        <f>VLOOKUP(A18,Catálogo!$A$5:$L$51,9,0)</f>
        <v/>
      </c>
    </row>
    <row r="19" ht="15" customHeight="1" s="37">
      <c r="A19" s="97" t="inlineStr">
        <is>
          <t>LAC-015</t>
        </is>
      </c>
      <c r="B19" s="103">
        <f>VLOOKUP(A19,Catálogo!$A$5:$L$51,2,0)</f>
        <v/>
      </c>
      <c r="C19" s="103">
        <f>VLOOKUP(A19,Catálogo!$A$5:$L$51,3,0)</f>
        <v/>
      </c>
      <c r="D19" s="198" t="n">
        <v>7020</v>
      </c>
      <c r="E19" s="198" t="n">
        <v>7600</v>
      </c>
      <c r="F19" s="192">
        <f>IF(D19=0,0,(E19-D19)/D19)</f>
        <v/>
      </c>
      <c r="G19" s="105">
        <f>ROUND(E19/VLOOKUP(A19,Catálogo!$A$5:$L$51,6,0),0)</f>
        <v/>
      </c>
      <c r="H19" s="199">
        <f>G19*VLOOKUP(A19,Catálogo!$A$5:$L$51,5,0)</f>
        <v/>
      </c>
      <c r="I19" s="199">
        <f>E19-H19</f>
        <v/>
      </c>
      <c r="J19" s="200">
        <f>IF(E19=0,0,I19/E19)</f>
        <v/>
      </c>
      <c r="K19" s="108">
        <f>VLOOKUP(A19,Catálogo!$A$5:$L$51,9,0)</f>
        <v/>
      </c>
    </row>
    <row r="20" ht="15" customHeight="1" s="37">
      <c r="A20" s="97" t="inlineStr">
        <is>
          <t>LAC-016</t>
        </is>
      </c>
      <c r="B20" s="103">
        <f>VLOOKUP(A20,Catálogo!$A$5:$L$51,2,0)</f>
        <v/>
      </c>
      <c r="C20" s="103">
        <f>VLOOKUP(A20,Catálogo!$A$5:$L$51,3,0)</f>
        <v/>
      </c>
      <c r="D20" s="198" t="n">
        <v>3620</v>
      </c>
      <c r="E20" s="198" t="n">
        <v>3920</v>
      </c>
      <c r="F20" s="192">
        <f>IF(D20=0,0,(E20-D20)/D20)</f>
        <v/>
      </c>
      <c r="G20" s="105">
        <f>ROUND(E20/VLOOKUP(A20,Catálogo!$A$5:$L$51,6,0),0)</f>
        <v/>
      </c>
      <c r="H20" s="199">
        <f>G20*VLOOKUP(A20,Catálogo!$A$5:$L$51,5,0)</f>
        <v/>
      </c>
      <c r="I20" s="199">
        <f>E20-H20</f>
        <v/>
      </c>
      <c r="J20" s="200">
        <f>IF(E20=0,0,I20/E20)</f>
        <v/>
      </c>
      <c r="K20" s="108">
        <f>VLOOKUP(A20,Catálogo!$A$5:$L$51,9,0)</f>
        <v/>
      </c>
    </row>
    <row r="21" ht="15" customHeight="1" s="37">
      <c r="A21" s="97" t="inlineStr">
        <is>
          <t>LAC-017</t>
        </is>
      </c>
      <c r="B21" s="103">
        <f>VLOOKUP(A21,Catálogo!$A$5:$L$51,2,0)</f>
        <v/>
      </c>
      <c r="C21" s="103">
        <f>VLOOKUP(A21,Catálogo!$A$5:$L$51,3,0)</f>
        <v/>
      </c>
      <c r="D21" s="198" t="n">
        <v>6440</v>
      </c>
      <c r="E21" s="198" t="n">
        <v>6970</v>
      </c>
      <c r="F21" s="192">
        <f>IF(D21=0,0,(E21-D21)/D21)</f>
        <v/>
      </c>
      <c r="G21" s="105">
        <f>ROUND(E21/VLOOKUP(A21,Catálogo!$A$5:$L$51,6,0),0)</f>
        <v/>
      </c>
      <c r="H21" s="199">
        <f>G21*VLOOKUP(A21,Catálogo!$A$5:$L$51,5,0)</f>
        <v/>
      </c>
      <c r="I21" s="199">
        <f>E21-H21</f>
        <v/>
      </c>
      <c r="J21" s="200">
        <f>IF(E21=0,0,I21/E21)</f>
        <v/>
      </c>
      <c r="K21" s="108">
        <f>VLOOKUP(A21,Catálogo!$A$5:$L$51,9,0)</f>
        <v/>
      </c>
    </row>
    <row r="22" ht="15" customHeight="1" s="37">
      <c r="A22" s="97" t="inlineStr">
        <is>
          <t>LAC-018</t>
        </is>
      </c>
      <c r="B22" s="103">
        <f>VLOOKUP(A22,Catálogo!$A$5:$L$51,2,0)</f>
        <v/>
      </c>
      <c r="C22" s="103">
        <f>VLOOKUP(A22,Catálogo!$A$5:$L$51,3,0)</f>
        <v/>
      </c>
      <c r="D22" s="198" t="n">
        <v>5660</v>
      </c>
      <c r="E22" s="198" t="n">
        <v>6120</v>
      </c>
      <c r="F22" s="192">
        <f>IF(D22=0,0,(E22-D22)/D22)</f>
        <v/>
      </c>
      <c r="G22" s="105">
        <f>ROUND(E22/VLOOKUP(A22,Catálogo!$A$5:$L$51,6,0),0)</f>
        <v/>
      </c>
      <c r="H22" s="199">
        <f>G22*VLOOKUP(A22,Catálogo!$A$5:$L$51,5,0)</f>
        <v/>
      </c>
      <c r="I22" s="199">
        <f>E22-H22</f>
        <v/>
      </c>
      <c r="J22" s="200">
        <f>IF(E22=0,0,I22/E22)</f>
        <v/>
      </c>
      <c r="K22" s="108">
        <f>VLOOKUP(A22,Catálogo!$A$5:$L$51,9,0)</f>
        <v/>
      </c>
    </row>
    <row r="23" ht="15" customHeight="1" s="37">
      <c r="A23" s="97" t="inlineStr">
        <is>
          <t>EMB-001</t>
        </is>
      </c>
      <c r="B23" s="103">
        <f>VLOOKUP(A23,Catálogo!$A$5:$L$51,2,0)</f>
        <v/>
      </c>
      <c r="C23" s="103">
        <f>VLOOKUP(A23,Catálogo!$A$5:$L$51,3,0)</f>
        <v/>
      </c>
      <c r="D23" s="198" t="n">
        <v>4940</v>
      </c>
      <c r="E23" s="198" t="n">
        <v>5140</v>
      </c>
      <c r="F23" s="192">
        <f>IF(D23=0,0,(E23-D23)/D23)</f>
        <v/>
      </c>
      <c r="G23" s="105">
        <f>ROUND(E23/VLOOKUP(A23,Catálogo!$A$5:$L$51,6,0),0)</f>
        <v/>
      </c>
      <c r="H23" s="199">
        <f>G23*VLOOKUP(A23,Catálogo!$A$5:$L$51,5,0)</f>
        <v/>
      </c>
      <c r="I23" s="199">
        <f>E23-H23</f>
        <v/>
      </c>
      <c r="J23" s="200">
        <f>IF(E23=0,0,I23/E23)</f>
        <v/>
      </c>
      <c r="K23" s="108">
        <f>VLOOKUP(A23,Catálogo!$A$5:$L$51,9,0)</f>
        <v/>
      </c>
    </row>
    <row r="24" ht="15" customHeight="1" s="37">
      <c r="A24" s="97" t="inlineStr">
        <is>
          <t>EMB-002</t>
        </is>
      </c>
      <c r="B24" s="103">
        <f>VLOOKUP(A24,Catálogo!$A$5:$L$51,2,0)</f>
        <v/>
      </c>
      <c r="C24" s="103">
        <f>VLOOKUP(A24,Catálogo!$A$5:$L$51,3,0)</f>
        <v/>
      </c>
      <c r="D24" s="198" t="n">
        <v>9130</v>
      </c>
      <c r="E24" s="198" t="n">
        <v>9500</v>
      </c>
      <c r="F24" s="192">
        <f>IF(D24=0,0,(E24-D24)/D24)</f>
        <v/>
      </c>
      <c r="G24" s="105">
        <f>ROUND(E24/VLOOKUP(A24,Catálogo!$A$5:$L$51,6,0),0)</f>
        <v/>
      </c>
      <c r="H24" s="199">
        <f>G24*VLOOKUP(A24,Catálogo!$A$5:$L$51,5,0)</f>
        <v/>
      </c>
      <c r="I24" s="199">
        <f>E24-H24</f>
        <v/>
      </c>
      <c r="J24" s="200">
        <f>IF(E24=0,0,I24/E24)</f>
        <v/>
      </c>
      <c r="K24" s="108">
        <f>VLOOKUP(A24,Catálogo!$A$5:$L$51,9,0)</f>
        <v/>
      </c>
    </row>
    <row r="25" ht="15" customHeight="1" s="37">
      <c r="A25" s="97" t="inlineStr">
        <is>
          <t>EMB-003</t>
        </is>
      </c>
      <c r="B25" s="103">
        <f>VLOOKUP(A25,Catálogo!$A$5:$L$51,2,0)</f>
        <v/>
      </c>
      <c r="C25" s="103">
        <f>VLOOKUP(A25,Catálogo!$A$5:$L$51,3,0)</f>
        <v/>
      </c>
      <c r="D25" s="198" t="n">
        <v>5040</v>
      </c>
      <c r="E25" s="198" t="n">
        <v>5250</v>
      </c>
      <c r="F25" s="192">
        <f>IF(D25=0,0,(E25-D25)/D25)</f>
        <v/>
      </c>
      <c r="G25" s="105">
        <f>ROUND(E25/VLOOKUP(A25,Catálogo!$A$5:$L$51,6,0),0)</f>
        <v/>
      </c>
      <c r="H25" s="199">
        <f>G25*VLOOKUP(A25,Catálogo!$A$5:$L$51,5,0)</f>
        <v/>
      </c>
      <c r="I25" s="199">
        <f>E25-H25</f>
        <v/>
      </c>
      <c r="J25" s="200">
        <f>IF(E25=0,0,I25/E25)</f>
        <v/>
      </c>
      <c r="K25" s="108">
        <f>VLOOKUP(A25,Catálogo!$A$5:$L$51,9,0)</f>
        <v/>
      </c>
    </row>
    <row r="26" ht="15" customHeight="1" s="37">
      <c r="A26" s="97" t="inlineStr">
        <is>
          <t>EMB-004</t>
        </is>
      </c>
      <c r="B26" s="103">
        <f>VLOOKUP(A26,Catálogo!$A$5:$L$51,2,0)</f>
        <v/>
      </c>
      <c r="C26" s="103">
        <f>VLOOKUP(A26,Catálogo!$A$5:$L$51,3,0)</f>
        <v/>
      </c>
      <c r="D26" s="198" t="n">
        <v>5230</v>
      </c>
      <c r="E26" s="198" t="n">
        <v>5440</v>
      </c>
      <c r="F26" s="192">
        <f>IF(D26=0,0,(E26-D26)/D26)</f>
        <v/>
      </c>
      <c r="G26" s="105">
        <f>ROUND(E26/VLOOKUP(A26,Catálogo!$A$5:$L$51,6,0),0)</f>
        <v/>
      </c>
      <c r="H26" s="199">
        <f>G26*VLOOKUP(A26,Catálogo!$A$5:$L$51,5,0)</f>
        <v/>
      </c>
      <c r="I26" s="199">
        <f>E26-H26</f>
        <v/>
      </c>
      <c r="J26" s="200">
        <f>IF(E26=0,0,I26/E26)</f>
        <v/>
      </c>
      <c r="K26" s="108">
        <f>VLOOKUP(A26,Catálogo!$A$5:$L$51,9,0)</f>
        <v/>
      </c>
    </row>
    <row r="27" ht="15" customHeight="1" s="37">
      <c r="A27" s="97" t="inlineStr">
        <is>
          <t>EMB-005</t>
        </is>
      </c>
      <c r="B27" s="103">
        <f>VLOOKUP(A27,Catálogo!$A$5:$L$51,2,0)</f>
        <v/>
      </c>
      <c r="C27" s="103">
        <f>VLOOKUP(A27,Catálogo!$A$5:$L$51,3,0)</f>
        <v/>
      </c>
      <c r="D27" s="198" t="n">
        <v>4820</v>
      </c>
      <c r="E27" s="198" t="n">
        <v>5020</v>
      </c>
      <c r="F27" s="192">
        <f>IF(D27=0,0,(E27-D27)/D27)</f>
        <v/>
      </c>
      <c r="G27" s="105">
        <f>ROUND(E27/VLOOKUP(A27,Catálogo!$A$5:$L$51,6,0),0)</f>
        <v/>
      </c>
      <c r="H27" s="199">
        <f>G27*VLOOKUP(A27,Catálogo!$A$5:$L$51,5,0)</f>
        <v/>
      </c>
      <c r="I27" s="199">
        <f>E27-H27</f>
        <v/>
      </c>
      <c r="J27" s="200">
        <f>IF(E27=0,0,I27/E27)</f>
        <v/>
      </c>
      <c r="K27" s="108">
        <f>VLOOKUP(A27,Catálogo!$A$5:$L$51,9,0)</f>
        <v/>
      </c>
    </row>
    <row r="28" ht="15" customHeight="1" s="37">
      <c r="A28" s="97" t="inlineStr">
        <is>
          <t>EMB-006</t>
        </is>
      </c>
      <c r="B28" s="103">
        <f>VLOOKUP(A28,Catálogo!$A$5:$L$51,2,0)</f>
        <v/>
      </c>
      <c r="C28" s="103">
        <f>VLOOKUP(A28,Catálogo!$A$5:$L$51,3,0)</f>
        <v/>
      </c>
      <c r="D28" s="198" t="n">
        <v>3340</v>
      </c>
      <c r="E28" s="198" t="n">
        <v>3480</v>
      </c>
      <c r="F28" s="192">
        <f>IF(D28=0,0,(E28-D28)/D28)</f>
        <v/>
      </c>
      <c r="G28" s="105">
        <f>ROUND(E28/VLOOKUP(A28,Catálogo!$A$5:$L$51,6,0),0)</f>
        <v/>
      </c>
      <c r="H28" s="199">
        <f>G28*VLOOKUP(A28,Catálogo!$A$5:$L$51,5,0)</f>
        <v/>
      </c>
      <c r="I28" s="199">
        <f>E28-H28</f>
        <v/>
      </c>
      <c r="J28" s="200">
        <f>IF(E28=0,0,I28/E28)</f>
        <v/>
      </c>
      <c r="K28" s="108">
        <f>VLOOKUP(A28,Catálogo!$A$5:$L$51,9,0)</f>
        <v/>
      </c>
    </row>
    <row r="29" ht="15" customHeight="1" s="37">
      <c r="A29" s="97" t="inlineStr">
        <is>
          <t>EMB-007</t>
        </is>
      </c>
      <c r="B29" s="103">
        <f>VLOOKUP(A29,Catálogo!$A$5:$L$51,2,0)</f>
        <v/>
      </c>
      <c r="C29" s="103">
        <f>VLOOKUP(A29,Catálogo!$A$5:$L$51,3,0)</f>
        <v/>
      </c>
      <c r="D29" s="198" t="n">
        <v>5950</v>
      </c>
      <c r="E29" s="198" t="n">
        <v>6190</v>
      </c>
      <c r="F29" s="192">
        <f>IF(D29=0,0,(E29-D29)/D29)</f>
        <v/>
      </c>
      <c r="G29" s="105">
        <f>ROUND(E29/VLOOKUP(A29,Catálogo!$A$5:$L$51,6,0),0)</f>
        <v/>
      </c>
      <c r="H29" s="199">
        <f>G29*VLOOKUP(A29,Catálogo!$A$5:$L$51,5,0)</f>
        <v/>
      </c>
      <c r="I29" s="199">
        <f>E29-H29</f>
        <v/>
      </c>
      <c r="J29" s="200">
        <f>IF(E29=0,0,I29/E29)</f>
        <v/>
      </c>
      <c r="K29" s="108">
        <f>VLOOKUP(A29,Catálogo!$A$5:$L$51,9,0)</f>
        <v/>
      </c>
    </row>
    <row r="30" ht="15" customHeight="1" s="37">
      <c r="A30" s="97" t="inlineStr">
        <is>
          <t>EMB-008</t>
        </is>
      </c>
      <c r="B30" s="103">
        <f>VLOOKUP(A30,Catálogo!$A$5:$L$51,2,0)</f>
        <v/>
      </c>
      <c r="C30" s="103">
        <f>VLOOKUP(A30,Catálogo!$A$5:$L$51,3,0)</f>
        <v/>
      </c>
      <c r="D30" s="198" t="n">
        <v>9580</v>
      </c>
      <c r="E30" s="198" t="n">
        <v>9970</v>
      </c>
      <c r="F30" s="192">
        <f>IF(D30=0,0,(E30-D30)/D30)</f>
        <v/>
      </c>
      <c r="G30" s="105">
        <f>ROUND(E30/VLOOKUP(A30,Catálogo!$A$5:$L$51,6,0),0)</f>
        <v/>
      </c>
      <c r="H30" s="199">
        <f>G30*VLOOKUP(A30,Catálogo!$A$5:$L$51,5,0)</f>
        <v/>
      </c>
      <c r="I30" s="199">
        <f>E30-H30</f>
        <v/>
      </c>
      <c r="J30" s="200">
        <f>IF(E30=0,0,I30/E30)</f>
        <v/>
      </c>
      <c r="K30" s="108">
        <f>VLOOKUP(A30,Catálogo!$A$5:$L$51,9,0)</f>
        <v/>
      </c>
    </row>
    <row r="31" ht="15" customHeight="1" s="37">
      <c r="A31" s="97" t="inlineStr">
        <is>
          <t>EMB-009</t>
        </is>
      </c>
      <c r="B31" s="103">
        <f>VLOOKUP(A31,Catálogo!$A$5:$L$51,2,0)</f>
        <v/>
      </c>
      <c r="C31" s="103">
        <f>VLOOKUP(A31,Catálogo!$A$5:$L$51,3,0)</f>
        <v/>
      </c>
      <c r="D31" s="198" t="n">
        <v>8670</v>
      </c>
      <c r="E31" s="198" t="n">
        <v>9030</v>
      </c>
      <c r="F31" s="192">
        <f>IF(D31=0,0,(E31-D31)/D31)</f>
        <v/>
      </c>
      <c r="G31" s="105">
        <f>ROUND(E31/VLOOKUP(A31,Catálogo!$A$5:$L$51,6,0),0)</f>
        <v/>
      </c>
      <c r="H31" s="199">
        <f>G31*VLOOKUP(A31,Catálogo!$A$5:$L$51,5,0)</f>
        <v/>
      </c>
      <c r="I31" s="199">
        <f>E31-H31</f>
        <v/>
      </c>
      <c r="J31" s="200">
        <f>IF(E31=0,0,I31/E31)</f>
        <v/>
      </c>
      <c r="K31" s="108">
        <f>VLOOKUP(A31,Catálogo!$A$5:$L$51,9,0)</f>
        <v/>
      </c>
    </row>
    <row r="32" ht="15" customHeight="1" s="37">
      <c r="A32" s="97" t="inlineStr">
        <is>
          <t>EMB-010</t>
        </is>
      </c>
      <c r="B32" s="103">
        <f>VLOOKUP(A32,Catálogo!$A$5:$L$51,2,0)</f>
        <v/>
      </c>
      <c r="C32" s="103">
        <f>VLOOKUP(A32,Catálogo!$A$5:$L$51,3,0)</f>
        <v/>
      </c>
      <c r="D32" s="198" t="n">
        <v>5970</v>
      </c>
      <c r="E32" s="198" t="n">
        <v>6210</v>
      </c>
      <c r="F32" s="192">
        <f>IF(D32=0,0,(E32-D32)/D32)</f>
        <v/>
      </c>
      <c r="G32" s="105">
        <f>ROUND(E32/VLOOKUP(A32,Catálogo!$A$5:$L$51,6,0),0)</f>
        <v/>
      </c>
      <c r="H32" s="199">
        <f>G32*VLOOKUP(A32,Catálogo!$A$5:$L$51,5,0)</f>
        <v/>
      </c>
      <c r="I32" s="199">
        <f>E32-H32</f>
        <v/>
      </c>
      <c r="J32" s="200">
        <f>IF(E32=0,0,I32/E32)</f>
        <v/>
      </c>
      <c r="K32" s="108">
        <f>VLOOKUP(A32,Catálogo!$A$5:$L$51,9,0)</f>
        <v/>
      </c>
    </row>
    <row r="33" ht="15" customHeight="1" s="37">
      <c r="A33" s="97" t="inlineStr">
        <is>
          <t>EMB-011</t>
        </is>
      </c>
      <c r="B33" s="103">
        <f>VLOOKUP(A33,Catálogo!$A$5:$L$51,2,0)</f>
        <v/>
      </c>
      <c r="C33" s="103">
        <f>VLOOKUP(A33,Catálogo!$A$5:$L$51,3,0)</f>
        <v/>
      </c>
      <c r="D33" s="198" t="n">
        <v>2990</v>
      </c>
      <c r="E33" s="198" t="n">
        <v>3110</v>
      </c>
      <c r="F33" s="192">
        <f>IF(D33=0,0,(E33-D33)/D33)</f>
        <v/>
      </c>
      <c r="G33" s="105">
        <f>ROUND(E33/VLOOKUP(A33,Catálogo!$A$5:$L$51,6,0),0)</f>
        <v/>
      </c>
      <c r="H33" s="199">
        <f>G33*VLOOKUP(A33,Catálogo!$A$5:$L$51,5,0)</f>
        <v/>
      </c>
      <c r="I33" s="199">
        <f>E33-H33</f>
        <v/>
      </c>
      <c r="J33" s="200">
        <f>IF(E33=0,0,I33/E33)</f>
        <v/>
      </c>
      <c r="K33" s="108">
        <f>VLOOKUP(A33,Catálogo!$A$5:$L$51,9,0)</f>
        <v/>
      </c>
    </row>
    <row r="34" ht="15" customHeight="1" s="37">
      <c r="A34" s="97" t="inlineStr">
        <is>
          <t>EMB-012</t>
        </is>
      </c>
      <c r="B34" s="103">
        <f>VLOOKUP(A34,Catálogo!$A$5:$L$51,2,0)</f>
        <v/>
      </c>
      <c r="C34" s="103">
        <f>VLOOKUP(A34,Catálogo!$A$5:$L$51,3,0)</f>
        <v/>
      </c>
      <c r="D34" s="198" t="n">
        <v>3610</v>
      </c>
      <c r="E34" s="198" t="n">
        <v>3760</v>
      </c>
      <c r="F34" s="192">
        <f>IF(D34=0,0,(E34-D34)/D34)</f>
        <v/>
      </c>
      <c r="G34" s="105">
        <f>ROUND(E34/VLOOKUP(A34,Catálogo!$A$5:$L$51,6,0),0)</f>
        <v/>
      </c>
      <c r="H34" s="199">
        <f>G34*VLOOKUP(A34,Catálogo!$A$5:$L$51,5,0)</f>
        <v/>
      </c>
      <c r="I34" s="199">
        <f>E34-H34</f>
        <v/>
      </c>
      <c r="J34" s="200">
        <f>IF(E34=0,0,I34/E34)</f>
        <v/>
      </c>
      <c r="K34" s="108">
        <f>VLOOKUP(A34,Catálogo!$A$5:$L$51,9,0)</f>
        <v/>
      </c>
    </row>
    <row r="35" ht="15" customHeight="1" s="37">
      <c r="A35" s="97" t="inlineStr">
        <is>
          <t>ABA-001</t>
        </is>
      </c>
      <c r="B35" s="103">
        <f>VLOOKUP(A35,Catálogo!$A$5:$L$51,2,0)</f>
        <v/>
      </c>
      <c r="C35" s="103">
        <f>VLOOKUP(A35,Catálogo!$A$5:$L$51,3,0)</f>
        <v/>
      </c>
      <c r="D35" s="198" t="n">
        <v>820</v>
      </c>
      <c r="E35" s="198" t="n">
        <v>960</v>
      </c>
      <c r="F35" s="192">
        <f>IF(D35=0,0,(E35-D35)/D35)</f>
        <v/>
      </c>
      <c r="G35" s="105">
        <f>ROUND(E35/VLOOKUP(A35,Catálogo!$A$5:$L$51,6,0),0)</f>
        <v/>
      </c>
      <c r="H35" s="199">
        <f>G35*VLOOKUP(A35,Catálogo!$A$5:$L$51,5,0)</f>
        <v/>
      </c>
      <c r="I35" s="199">
        <f>E35-H35</f>
        <v/>
      </c>
      <c r="J35" s="200">
        <f>IF(E35=0,0,I35/E35)</f>
        <v/>
      </c>
      <c r="K35" s="108">
        <f>VLOOKUP(A35,Catálogo!$A$5:$L$51,9,0)</f>
        <v/>
      </c>
    </row>
    <row r="36" ht="15" customHeight="1" s="37">
      <c r="A36" s="97" t="inlineStr">
        <is>
          <t>ABA-002</t>
        </is>
      </c>
      <c r="B36" s="103">
        <f>VLOOKUP(A36,Catálogo!$A$5:$L$51,2,0)</f>
        <v/>
      </c>
      <c r="C36" s="103">
        <f>VLOOKUP(A36,Catálogo!$A$5:$L$51,3,0)</f>
        <v/>
      </c>
      <c r="D36" s="198" t="n">
        <v>1030</v>
      </c>
      <c r="E36" s="198" t="n">
        <v>1200</v>
      </c>
      <c r="F36" s="192">
        <f>IF(D36=0,0,(E36-D36)/D36)</f>
        <v/>
      </c>
      <c r="G36" s="105">
        <f>ROUND(E36/VLOOKUP(A36,Catálogo!$A$5:$L$51,6,0),0)</f>
        <v/>
      </c>
      <c r="H36" s="199">
        <f>G36*VLOOKUP(A36,Catálogo!$A$5:$L$51,5,0)</f>
        <v/>
      </c>
      <c r="I36" s="199">
        <f>E36-H36</f>
        <v/>
      </c>
      <c r="J36" s="200">
        <f>IF(E36=0,0,I36/E36)</f>
        <v/>
      </c>
      <c r="K36" s="108">
        <f>VLOOKUP(A36,Catálogo!$A$5:$L$51,9,0)</f>
        <v/>
      </c>
    </row>
    <row r="37" ht="15" customHeight="1" s="37">
      <c r="A37" s="97" t="inlineStr">
        <is>
          <t>ABA-003</t>
        </is>
      </c>
      <c r="B37" s="103">
        <f>VLOOKUP(A37,Catálogo!$A$5:$L$51,2,0)</f>
        <v/>
      </c>
      <c r="C37" s="103">
        <f>VLOOKUP(A37,Catálogo!$A$5:$L$51,3,0)</f>
        <v/>
      </c>
      <c r="D37" s="198" t="n">
        <v>2160</v>
      </c>
      <c r="E37" s="198" t="n">
        <v>2520</v>
      </c>
      <c r="F37" s="192">
        <f>IF(D37=0,0,(E37-D37)/D37)</f>
        <v/>
      </c>
      <c r="G37" s="105">
        <f>ROUND(E37/VLOOKUP(A37,Catálogo!$A$5:$L$51,6,0),0)</f>
        <v/>
      </c>
      <c r="H37" s="199">
        <f>G37*VLOOKUP(A37,Catálogo!$A$5:$L$51,5,0)</f>
        <v/>
      </c>
      <c r="I37" s="199">
        <f>E37-H37</f>
        <v/>
      </c>
      <c r="J37" s="200">
        <f>IF(E37=0,0,I37/E37)</f>
        <v/>
      </c>
      <c r="K37" s="108">
        <f>VLOOKUP(A37,Catálogo!$A$5:$L$51,9,0)</f>
        <v/>
      </c>
    </row>
    <row r="38" ht="15" customHeight="1" s="37">
      <c r="A38" s="97" t="inlineStr">
        <is>
          <t>ABA-004</t>
        </is>
      </c>
      <c r="B38" s="103">
        <f>VLOOKUP(A38,Catálogo!$A$5:$L$51,2,0)</f>
        <v/>
      </c>
      <c r="C38" s="103">
        <f>VLOOKUP(A38,Catálogo!$A$5:$L$51,3,0)</f>
        <v/>
      </c>
      <c r="D38" s="198" t="n">
        <v>1940</v>
      </c>
      <c r="E38" s="198" t="n">
        <v>2260</v>
      </c>
      <c r="F38" s="192">
        <f>IF(D38=0,0,(E38-D38)/D38)</f>
        <v/>
      </c>
      <c r="G38" s="105">
        <f>ROUND(E38/VLOOKUP(A38,Catálogo!$A$5:$L$51,6,0),0)</f>
        <v/>
      </c>
      <c r="H38" s="199">
        <f>G38*VLOOKUP(A38,Catálogo!$A$5:$L$51,5,0)</f>
        <v/>
      </c>
      <c r="I38" s="199">
        <f>E38-H38</f>
        <v/>
      </c>
      <c r="J38" s="200">
        <f>IF(E38=0,0,I38/E38)</f>
        <v/>
      </c>
      <c r="K38" s="108">
        <f>VLOOKUP(A38,Catálogo!$A$5:$L$51,9,0)</f>
        <v/>
      </c>
    </row>
    <row r="39" ht="15" customHeight="1" s="37">
      <c r="A39" s="97" t="inlineStr">
        <is>
          <t>ABA-005</t>
        </is>
      </c>
      <c r="B39" s="103">
        <f>VLOOKUP(A39,Catálogo!$A$5:$L$51,2,0)</f>
        <v/>
      </c>
      <c r="C39" s="103">
        <f>VLOOKUP(A39,Catálogo!$A$5:$L$51,3,0)</f>
        <v/>
      </c>
      <c r="D39" s="198" t="n">
        <v>2670</v>
      </c>
      <c r="E39" s="198" t="n">
        <v>3110</v>
      </c>
      <c r="F39" s="192">
        <f>IF(D39=0,0,(E39-D39)/D39)</f>
        <v/>
      </c>
      <c r="G39" s="105">
        <f>ROUND(E39/VLOOKUP(A39,Catálogo!$A$5:$L$51,6,0),0)</f>
        <v/>
      </c>
      <c r="H39" s="199">
        <f>G39*VLOOKUP(A39,Catálogo!$A$5:$L$51,5,0)</f>
        <v/>
      </c>
      <c r="I39" s="199">
        <f>E39-H39</f>
        <v/>
      </c>
      <c r="J39" s="200">
        <f>IF(E39=0,0,I39/E39)</f>
        <v/>
      </c>
      <c r="K39" s="108">
        <f>VLOOKUP(A39,Catálogo!$A$5:$L$51,9,0)</f>
        <v/>
      </c>
    </row>
    <row r="40" ht="15" customHeight="1" s="37">
      <c r="A40" s="97" t="inlineStr">
        <is>
          <t>ABA-006</t>
        </is>
      </c>
      <c r="B40" s="103">
        <f>VLOOKUP(A40,Catálogo!$A$5:$L$51,2,0)</f>
        <v/>
      </c>
      <c r="C40" s="103">
        <f>VLOOKUP(A40,Catálogo!$A$5:$L$51,3,0)</f>
        <v/>
      </c>
      <c r="D40" s="198" t="n">
        <v>1480</v>
      </c>
      <c r="E40" s="198" t="n">
        <v>1730</v>
      </c>
      <c r="F40" s="192">
        <f>IF(D40=0,0,(E40-D40)/D40)</f>
        <v/>
      </c>
      <c r="G40" s="105">
        <f>ROUND(E40/VLOOKUP(A40,Catálogo!$A$5:$L$51,6,0),0)</f>
        <v/>
      </c>
      <c r="H40" s="199">
        <f>G40*VLOOKUP(A40,Catálogo!$A$5:$L$51,5,0)</f>
        <v/>
      </c>
      <c r="I40" s="199">
        <f>E40-H40</f>
        <v/>
      </c>
      <c r="J40" s="200">
        <f>IF(E40=0,0,I40/E40)</f>
        <v/>
      </c>
      <c r="K40" s="108">
        <f>VLOOKUP(A40,Catálogo!$A$5:$L$51,9,0)</f>
        <v/>
      </c>
    </row>
    <row r="41" ht="15" customHeight="1" s="37">
      <c r="A41" s="97" t="inlineStr">
        <is>
          <t>ABA-007</t>
        </is>
      </c>
      <c r="B41" s="103">
        <f>VLOOKUP(A41,Catálogo!$A$5:$L$51,2,0)</f>
        <v/>
      </c>
      <c r="C41" s="103">
        <f>VLOOKUP(A41,Catálogo!$A$5:$L$51,3,0)</f>
        <v/>
      </c>
      <c r="D41" s="198" t="n">
        <v>2350</v>
      </c>
      <c r="E41" s="198" t="n">
        <v>2740</v>
      </c>
      <c r="F41" s="192">
        <f>IF(D41=0,0,(E41-D41)/D41)</f>
        <v/>
      </c>
      <c r="G41" s="105">
        <f>ROUND(E41/VLOOKUP(A41,Catálogo!$A$5:$L$51,6,0),0)</f>
        <v/>
      </c>
      <c r="H41" s="199">
        <f>G41*VLOOKUP(A41,Catálogo!$A$5:$L$51,5,0)</f>
        <v/>
      </c>
      <c r="I41" s="199">
        <f>E41-H41</f>
        <v/>
      </c>
      <c r="J41" s="200">
        <f>IF(E41=0,0,I41/E41)</f>
        <v/>
      </c>
      <c r="K41" s="108">
        <f>VLOOKUP(A41,Catálogo!$A$5:$L$51,9,0)</f>
        <v/>
      </c>
    </row>
    <row r="42" ht="15" customHeight="1" s="37">
      <c r="A42" s="97" t="inlineStr">
        <is>
          <t>ABA-008</t>
        </is>
      </c>
      <c r="B42" s="103">
        <f>VLOOKUP(A42,Catálogo!$A$5:$L$51,2,0)</f>
        <v/>
      </c>
      <c r="C42" s="103">
        <f>VLOOKUP(A42,Catálogo!$A$5:$L$51,3,0)</f>
        <v/>
      </c>
      <c r="D42" s="198" t="n">
        <v>2010</v>
      </c>
      <c r="E42" s="198" t="n">
        <v>2340</v>
      </c>
      <c r="F42" s="192">
        <f>IF(D42=0,0,(E42-D42)/D42)</f>
        <v/>
      </c>
      <c r="G42" s="105">
        <f>ROUND(E42/VLOOKUP(A42,Catálogo!$A$5:$L$51,6,0),0)</f>
        <v/>
      </c>
      <c r="H42" s="199">
        <f>G42*VLOOKUP(A42,Catálogo!$A$5:$L$51,5,0)</f>
        <v/>
      </c>
      <c r="I42" s="199">
        <f>E42-H42</f>
        <v/>
      </c>
      <c r="J42" s="200">
        <f>IF(E42=0,0,I42/E42)</f>
        <v/>
      </c>
      <c r="K42" s="108">
        <f>VLOOKUP(A42,Catálogo!$A$5:$L$51,9,0)</f>
        <v/>
      </c>
    </row>
    <row r="43" ht="15" customHeight="1" s="37">
      <c r="A43" s="97" t="inlineStr">
        <is>
          <t>ABA-009</t>
        </is>
      </c>
      <c r="B43" s="103">
        <f>VLOOKUP(A43,Catálogo!$A$5:$L$51,2,0)</f>
        <v/>
      </c>
      <c r="C43" s="103">
        <f>VLOOKUP(A43,Catálogo!$A$5:$L$51,3,0)</f>
        <v/>
      </c>
      <c r="D43" s="198" t="n">
        <v>2100</v>
      </c>
      <c r="E43" s="198" t="n">
        <v>2450</v>
      </c>
      <c r="F43" s="192">
        <f>IF(D43=0,0,(E43-D43)/D43)</f>
        <v/>
      </c>
      <c r="G43" s="105">
        <f>ROUND(E43/VLOOKUP(A43,Catálogo!$A$5:$L$51,6,0),0)</f>
        <v/>
      </c>
      <c r="H43" s="199">
        <f>G43*VLOOKUP(A43,Catálogo!$A$5:$L$51,5,0)</f>
        <v/>
      </c>
      <c r="I43" s="199">
        <f>E43-H43</f>
        <v/>
      </c>
      <c r="J43" s="200">
        <f>IF(E43=0,0,I43/E43)</f>
        <v/>
      </c>
      <c r="K43" s="108">
        <f>VLOOKUP(A43,Catálogo!$A$5:$L$51,9,0)</f>
        <v/>
      </c>
    </row>
    <row r="44" ht="15" customHeight="1" s="37">
      <c r="A44" s="97" t="inlineStr">
        <is>
          <t>ABA-010</t>
        </is>
      </c>
      <c r="B44" s="103">
        <f>VLOOKUP(A44,Catálogo!$A$5:$L$51,2,0)</f>
        <v/>
      </c>
      <c r="C44" s="103">
        <f>VLOOKUP(A44,Catálogo!$A$5:$L$51,3,0)</f>
        <v/>
      </c>
      <c r="D44" s="198" t="n">
        <v>2020</v>
      </c>
      <c r="E44" s="198" t="n">
        <v>2350</v>
      </c>
      <c r="F44" s="192">
        <f>IF(D44=0,0,(E44-D44)/D44)</f>
        <v/>
      </c>
      <c r="G44" s="105">
        <f>ROUND(E44/VLOOKUP(A44,Catálogo!$A$5:$L$51,6,0),0)</f>
        <v/>
      </c>
      <c r="H44" s="199">
        <f>G44*VLOOKUP(A44,Catálogo!$A$5:$L$51,5,0)</f>
        <v/>
      </c>
      <c r="I44" s="199">
        <f>E44-H44</f>
        <v/>
      </c>
      <c r="J44" s="200">
        <f>IF(E44=0,0,I44/E44)</f>
        <v/>
      </c>
      <c r="K44" s="108">
        <f>VLOOKUP(A44,Catálogo!$A$5:$L$51,9,0)</f>
        <v/>
      </c>
    </row>
    <row r="45" ht="15" customHeight="1" s="37">
      <c r="A45" s="97" t="inlineStr">
        <is>
          <t>ABA-011</t>
        </is>
      </c>
      <c r="B45" s="103">
        <f>VLOOKUP(A45,Catálogo!$A$5:$L$51,2,0)</f>
        <v/>
      </c>
      <c r="C45" s="103">
        <f>VLOOKUP(A45,Catálogo!$A$5:$L$51,3,0)</f>
        <v/>
      </c>
      <c r="D45" s="198" t="n">
        <v>2640</v>
      </c>
      <c r="E45" s="198" t="n">
        <v>3080</v>
      </c>
      <c r="F45" s="192">
        <f>IF(D45=0,0,(E45-D45)/D45)</f>
        <v/>
      </c>
      <c r="G45" s="105">
        <f>ROUND(E45/VLOOKUP(A45,Catálogo!$A$5:$L$51,6,0),0)</f>
        <v/>
      </c>
      <c r="H45" s="199">
        <f>G45*VLOOKUP(A45,Catálogo!$A$5:$L$51,5,0)</f>
        <v/>
      </c>
      <c r="I45" s="199">
        <f>E45-H45</f>
        <v/>
      </c>
      <c r="J45" s="200">
        <f>IF(E45=0,0,I45/E45)</f>
        <v/>
      </c>
      <c r="K45" s="108">
        <f>VLOOKUP(A45,Catálogo!$A$5:$L$51,9,0)</f>
        <v/>
      </c>
    </row>
    <row r="46" ht="15" customHeight="1" s="37">
      <c r="A46" s="97" t="inlineStr">
        <is>
          <t>ABA-012</t>
        </is>
      </c>
      <c r="B46" s="103">
        <f>VLOOKUP(A46,Catálogo!$A$5:$L$51,2,0)</f>
        <v/>
      </c>
      <c r="C46" s="103">
        <f>VLOOKUP(A46,Catálogo!$A$5:$L$51,3,0)</f>
        <v/>
      </c>
      <c r="D46" s="198" t="n">
        <v>1420</v>
      </c>
      <c r="E46" s="198" t="n">
        <v>1650</v>
      </c>
      <c r="F46" s="192">
        <f>IF(D46=0,0,(E46-D46)/D46)</f>
        <v/>
      </c>
      <c r="G46" s="105">
        <f>ROUND(E46/VLOOKUP(A46,Catálogo!$A$5:$L$51,6,0),0)</f>
        <v/>
      </c>
      <c r="H46" s="199">
        <f>G46*VLOOKUP(A46,Catálogo!$A$5:$L$51,5,0)</f>
        <v/>
      </c>
      <c r="I46" s="199">
        <f>E46-H46</f>
        <v/>
      </c>
      <c r="J46" s="200">
        <f>IF(E46=0,0,I46/E46)</f>
        <v/>
      </c>
      <c r="K46" s="108">
        <f>VLOOKUP(A46,Catálogo!$A$5:$L$51,9,0)</f>
        <v/>
      </c>
    </row>
    <row r="47" ht="15" customHeight="1" s="37">
      <c r="A47" s="97" t="inlineStr">
        <is>
          <t>ABA-013</t>
        </is>
      </c>
      <c r="B47" s="103">
        <f>VLOOKUP(A47,Catálogo!$A$5:$L$51,2,0)</f>
        <v/>
      </c>
      <c r="C47" s="103">
        <f>VLOOKUP(A47,Catálogo!$A$5:$L$51,3,0)</f>
        <v/>
      </c>
      <c r="D47" s="198" t="n">
        <v>1210</v>
      </c>
      <c r="E47" s="198" t="n">
        <v>1410</v>
      </c>
      <c r="F47" s="192">
        <f>IF(D47=0,0,(E47-D47)/D47)</f>
        <v/>
      </c>
      <c r="G47" s="105">
        <f>ROUND(E47/VLOOKUP(A47,Catálogo!$A$5:$L$51,6,0),0)</f>
        <v/>
      </c>
      <c r="H47" s="199">
        <f>G47*VLOOKUP(A47,Catálogo!$A$5:$L$51,5,0)</f>
        <v/>
      </c>
      <c r="I47" s="199">
        <f>E47-H47</f>
        <v/>
      </c>
      <c r="J47" s="200">
        <f>IF(E47=0,0,I47/E47)</f>
        <v/>
      </c>
      <c r="K47" s="108">
        <f>VLOOKUP(A47,Catálogo!$A$5:$L$51,9,0)</f>
        <v/>
      </c>
    </row>
    <row r="48" ht="15" customHeight="1" s="37">
      <c r="A48" s="97" t="inlineStr">
        <is>
          <t>ABA-014</t>
        </is>
      </c>
      <c r="B48" s="103">
        <f>VLOOKUP(A48,Catálogo!$A$5:$L$51,2,0)</f>
        <v/>
      </c>
      <c r="C48" s="103">
        <f>VLOOKUP(A48,Catálogo!$A$5:$L$51,3,0)</f>
        <v/>
      </c>
      <c r="D48" s="198" t="n">
        <v>1710</v>
      </c>
      <c r="E48" s="198" t="n">
        <v>1990</v>
      </c>
      <c r="F48" s="192">
        <f>IF(D48=0,0,(E48-D48)/D48)</f>
        <v/>
      </c>
      <c r="G48" s="105">
        <f>ROUND(E48/VLOOKUP(A48,Catálogo!$A$5:$L$51,6,0),0)</f>
        <v/>
      </c>
      <c r="H48" s="199">
        <f>G48*VLOOKUP(A48,Catálogo!$A$5:$L$51,5,0)</f>
        <v/>
      </c>
      <c r="I48" s="199">
        <f>E48-H48</f>
        <v/>
      </c>
      <c r="J48" s="200">
        <f>IF(E48=0,0,I48/E48)</f>
        <v/>
      </c>
      <c r="K48" s="108">
        <f>VLOOKUP(A48,Catálogo!$A$5:$L$51,9,0)</f>
        <v/>
      </c>
    </row>
    <row r="49" ht="15" customHeight="1" s="37">
      <c r="A49" s="97" t="inlineStr">
        <is>
          <t>ABA-015</t>
        </is>
      </c>
      <c r="B49" s="103">
        <f>VLOOKUP(A49,Catálogo!$A$5:$L$51,2,0)</f>
        <v/>
      </c>
      <c r="C49" s="103">
        <f>VLOOKUP(A49,Catálogo!$A$5:$L$51,3,0)</f>
        <v/>
      </c>
      <c r="D49" s="198" t="n">
        <v>2760</v>
      </c>
      <c r="E49" s="198" t="n">
        <v>3210</v>
      </c>
      <c r="F49" s="192">
        <f>IF(D49=0,0,(E49-D49)/D49)</f>
        <v/>
      </c>
      <c r="G49" s="105">
        <f>ROUND(E49/VLOOKUP(A49,Catálogo!$A$5:$L$51,6,0),0)</f>
        <v/>
      </c>
      <c r="H49" s="199">
        <f>G49*VLOOKUP(A49,Catálogo!$A$5:$L$51,5,0)</f>
        <v/>
      </c>
      <c r="I49" s="199">
        <f>E49-H49</f>
        <v/>
      </c>
      <c r="J49" s="200">
        <f>IF(E49=0,0,I49/E49)</f>
        <v/>
      </c>
      <c r="K49" s="108">
        <f>VLOOKUP(A49,Catálogo!$A$5:$L$51,9,0)</f>
        <v/>
      </c>
    </row>
    <row r="50" ht="15" customHeight="1" s="37">
      <c r="A50" s="97" t="inlineStr">
        <is>
          <t>ABA-016</t>
        </is>
      </c>
      <c r="B50" s="103">
        <f>VLOOKUP(A50,Catálogo!$A$5:$L$51,2,0)</f>
        <v/>
      </c>
      <c r="C50" s="103">
        <f>VLOOKUP(A50,Catálogo!$A$5:$L$51,3,0)</f>
        <v/>
      </c>
      <c r="D50" s="198" t="n">
        <v>2550</v>
      </c>
      <c r="E50" s="198" t="n">
        <v>2970</v>
      </c>
      <c r="F50" s="192">
        <f>IF(D50=0,0,(E50-D50)/D50)</f>
        <v/>
      </c>
      <c r="G50" s="105">
        <f>ROUND(E50/VLOOKUP(A50,Catálogo!$A$5:$L$51,6,0),0)</f>
        <v/>
      </c>
      <c r="H50" s="199">
        <f>G50*VLOOKUP(A50,Catálogo!$A$5:$L$51,5,0)</f>
        <v/>
      </c>
      <c r="I50" s="199">
        <f>E50-H50</f>
        <v/>
      </c>
      <c r="J50" s="200">
        <f>IF(E50=0,0,I50/E50)</f>
        <v/>
      </c>
      <c r="K50" s="108">
        <f>VLOOKUP(A50,Catálogo!$A$5:$L$51,9,0)</f>
        <v/>
      </c>
    </row>
    <row r="51" ht="15" customHeight="1" s="37">
      <c r="A51" s="97" t="inlineStr">
        <is>
          <t>ABA-017</t>
        </is>
      </c>
      <c r="B51" s="103">
        <f>VLOOKUP(A51,Catálogo!$A$5:$L$51,2,0)</f>
        <v/>
      </c>
      <c r="C51" s="103">
        <f>VLOOKUP(A51,Catálogo!$A$5:$L$51,3,0)</f>
        <v/>
      </c>
      <c r="D51" s="198" t="n">
        <v>2170</v>
      </c>
      <c r="E51" s="198" t="n">
        <v>2530</v>
      </c>
      <c r="F51" s="192">
        <f>IF(D51=0,0,(E51-D51)/D51)</f>
        <v/>
      </c>
      <c r="G51" s="105">
        <f>ROUND(E51/VLOOKUP(A51,Catálogo!$A$5:$L$51,6,0),0)</f>
        <v/>
      </c>
      <c r="H51" s="199">
        <f>G51*VLOOKUP(A51,Catálogo!$A$5:$L$51,5,0)</f>
        <v/>
      </c>
      <c r="I51" s="199">
        <f>E51-H51</f>
        <v/>
      </c>
      <c r="J51" s="200">
        <f>IF(E51=0,0,I51/E51)</f>
        <v/>
      </c>
      <c r="K51" s="108">
        <f>VLOOKUP(A51,Catálogo!$A$5:$L$51,9,0)</f>
        <v/>
      </c>
    </row>
    <row r="52" ht="15" customHeight="1" s="37">
      <c r="A52" s="109" t="inlineStr">
        <is>
          <t>TOTAL</t>
        </is>
      </c>
      <c r="B52" s="82" t="n"/>
      <c r="C52" s="82" t="n"/>
      <c r="D52" s="201">
        <f>SUM(D5:D51)</f>
        <v/>
      </c>
      <c r="E52" s="201">
        <f>SUM(E5:E51)</f>
        <v/>
      </c>
      <c r="F52" s="202" t="n"/>
      <c r="G52" s="112" t="n"/>
      <c r="H52" s="201">
        <f>SUM(H5:H51)</f>
        <v/>
      </c>
      <c r="I52" s="201">
        <f>SUM(I5:I51)</f>
        <v/>
      </c>
      <c r="J52" s="203">
        <f>IF(E52=0,0,I52/E52)</f>
        <v/>
      </c>
      <c r="K52" s="114" t="n"/>
    </row>
  </sheetData>
  <mergeCells count="2">
    <mergeCell ref="A2:K2"/>
    <mergeCell ref="A1:K1"/>
  </mergeCell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9.xml><?xml version="1.0" encoding="utf-8"?>
<worksheet xmlns="http://schemas.openxmlformats.org/spreadsheetml/2006/main">
  <sheetPr filterMode="0">
    <outlinePr summaryBelow="1" summaryRight="1"/>
    <pageSetUpPr fitToPage="0"/>
  </sheetPr>
  <dimension ref="A1:H21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pane ySplit="4" topLeftCell="A5" activePane="bottomLeft" state="frozen"/>
      <selection pane="bottomLeft" activeCell="A1" activeCellId="0" sqref="A1"/>
    </sheetView>
  </sheetViews>
  <sheetFormatPr baseColWidth="8" defaultColWidth="8.6796875" defaultRowHeight="15" customHeight="0" zeroHeight="0" outlineLevelRow="0"/>
  <cols>
    <col width="18" customWidth="1" style="36" min="1" max="1"/>
    <col width="15" customWidth="1" style="36" min="2" max="2"/>
    <col width="15" customWidth="1" style="36" min="3" max="3"/>
    <col width="15" customWidth="1" style="36" min="4" max="5"/>
    <col width="13" customWidth="1" style="37" min="5" max="5"/>
    <col width="15" customWidth="1" style="36" min="6" max="6"/>
    <col width="18" customWidth="1" style="36" min="7" max="7"/>
    <col width="12" customWidth="1" style="36" min="8" max="8"/>
  </cols>
  <sheetData>
    <row r="1" ht="32" customHeight="1" s="37">
      <c r="A1" s="91" t="inlineStr">
        <is>
          <t>Análisis de Crecimiento — Categorías y Productos</t>
        </is>
      </c>
    </row>
    <row r="2" ht="22" customHeight="1" s="37">
      <c r="A2" s="74" t="inlineStr">
        <is>
          <t>Todo se calcula desde la hoja Ventas. Crecim. relativo = ritmo vs. el total. Contribución = parte del crecimiento total que aporta.</t>
        </is>
      </c>
    </row>
    <row r="4" ht="32" customHeight="1" s="37">
      <c r="A4" s="52" t="inlineStr">
        <is>
          <t>Categoría</t>
        </is>
      </c>
      <c r="B4" s="52" t="inlineStr">
        <is>
          <t>Ingreso Mes Ant.</t>
        </is>
      </c>
      <c r="C4" s="52" t="inlineStr">
        <is>
          <t>Ingreso Mes Act.</t>
        </is>
      </c>
      <c r="D4" s="52" t="inlineStr">
        <is>
          <t>Crecimiento $</t>
        </is>
      </c>
      <c r="E4" s="52" t="inlineStr">
        <is>
          <t>Crecimiento %</t>
        </is>
      </c>
      <c r="F4" s="52" t="inlineStr">
        <is>
          <t>Crecim. Relativo</t>
        </is>
      </c>
      <c r="G4" s="52" t="inlineStr">
        <is>
          <t>Contribución al Crecim. %</t>
        </is>
      </c>
    </row>
    <row r="5" ht="15" customHeight="1" s="37">
      <c r="A5" s="97" t="inlineStr">
        <is>
          <t>Lácteos</t>
        </is>
      </c>
      <c r="B5" s="199">
        <f>SUMIF(Ventas!$C$5:$C$51,A5,Ventas!$D$5:$D$51)</f>
        <v/>
      </c>
      <c r="C5" s="199">
        <f>SUMIF(Ventas!$C$5:$C$51,A5,Ventas!$E$5:$E$51)</f>
        <v/>
      </c>
      <c r="D5" s="204">
        <f>C5-B5</f>
        <v/>
      </c>
      <c r="E5" s="192">
        <f>IF(B5=0,0,D5/B5)</f>
        <v/>
      </c>
      <c r="F5" s="200">
        <f>IF($E$8=0,0,E5/$E$8)</f>
        <v/>
      </c>
      <c r="G5" s="200">
        <f>IF($D$8=0,0,D5/$D$8)</f>
        <v/>
      </c>
    </row>
    <row r="6" ht="15" customHeight="1" s="37">
      <c r="A6" s="97" t="inlineStr">
        <is>
          <t>Embutidos</t>
        </is>
      </c>
      <c r="B6" s="199">
        <f>SUMIF(Ventas!$C$5:$C$51,A6,Ventas!$D$5:$D$51)</f>
        <v/>
      </c>
      <c r="C6" s="199">
        <f>SUMIF(Ventas!$C$5:$C$51,A6,Ventas!$E$5:$E$51)</f>
        <v/>
      </c>
      <c r="D6" s="204">
        <f>C6-B6</f>
        <v/>
      </c>
      <c r="E6" s="192">
        <f>IF(B6=0,0,D6/B6)</f>
        <v/>
      </c>
      <c r="F6" s="200">
        <f>IF($E$8=0,0,E6/$E$8)</f>
        <v/>
      </c>
      <c r="G6" s="200">
        <f>IF($D$8=0,0,D6/$D$8)</f>
        <v/>
      </c>
    </row>
    <row r="7" ht="15" customHeight="1" s="37">
      <c r="A7" s="97" t="inlineStr">
        <is>
          <t>Abarrotes</t>
        </is>
      </c>
      <c r="B7" s="199">
        <f>SUMIF(Ventas!$C$5:$C$51,A7,Ventas!$D$5:$D$51)</f>
        <v/>
      </c>
      <c r="C7" s="199">
        <f>SUMIF(Ventas!$C$5:$C$51,A7,Ventas!$E$5:$E$51)</f>
        <v/>
      </c>
      <c r="D7" s="204">
        <f>C7-B7</f>
        <v/>
      </c>
      <c r="E7" s="192">
        <f>IF(B7=0,0,D7/B7)</f>
        <v/>
      </c>
      <c r="F7" s="200">
        <f>IF($E$8=0,0,E7/$E$8)</f>
        <v/>
      </c>
      <c r="G7" s="200">
        <f>IF($D$8=0,0,D7/$D$8)</f>
        <v/>
      </c>
    </row>
    <row r="8" ht="15" customHeight="1" s="37">
      <c r="A8" s="109" t="inlineStr">
        <is>
          <t>TOTAL</t>
        </is>
      </c>
      <c r="B8" s="201">
        <f>SUM(B5:B7)</f>
        <v/>
      </c>
      <c r="C8" s="201">
        <f>SUM(C5:C7)</f>
        <v/>
      </c>
      <c r="D8" s="201">
        <f>SUM(D5:D7)</f>
        <v/>
      </c>
      <c r="E8" s="203">
        <f>IF(B8=0,0,D8/B8)</f>
        <v/>
      </c>
      <c r="F8" s="205" t="n"/>
      <c r="G8" s="205" t="n"/>
    </row>
    <row r="10" ht="15" customHeight="1" s="37">
      <c r="A10" s="97" t="inlineStr">
        <is>
          <t>TOP 10 PRODUCTOS POR CRECIMIENTO</t>
        </is>
      </c>
      <c r="B10" s="206" t="n"/>
      <c r="C10" s="206" t="n"/>
      <c r="D10" s="207" t="n"/>
      <c r="E10" s="208" t="n"/>
      <c r="F10" s="209" t="n"/>
      <c r="G10" s="209" t="n"/>
    </row>
    <row r="11" ht="23.85" customHeight="1" s="37">
      <c r="A11" s="120" t="inlineStr">
        <is>
          <t>SKU</t>
        </is>
      </c>
      <c r="B11" s="210" t="inlineStr">
        <is>
          <t>Producto</t>
        </is>
      </c>
      <c r="C11" s="210" t="inlineStr">
        <is>
          <t>Categoría</t>
        </is>
      </c>
      <c r="D11" s="211" t="inlineStr">
        <is>
          <t>Ingreso Mes Ant.</t>
        </is>
      </c>
      <c r="E11" s="212" t="inlineStr">
        <is>
          <t>Ingreso Mes Act.</t>
        </is>
      </c>
      <c r="F11" s="213" t="inlineStr">
        <is>
          <t>Crecimiento $</t>
        </is>
      </c>
      <c r="G11" s="213" t="inlineStr">
        <is>
          <t>Crecim. %</t>
        </is>
      </c>
      <c r="H11" s="134" t="inlineStr">
        <is>
          <t>Contribución al Crecim. %</t>
        </is>
      </c>
    </row>
    <row r="12" ht="15" customHeight="1" s="37">
      <c r="A12" s="97" t="inlineStr">
        <is>
          <t>LAC-011</t>
        </is>
      </c>
      <c r="B12" s="199">
        <f>VLOOKUP(A12,Catálogo!$A$5:$L$51,2,0)</f>
        <v/>
      </c>
      <c r="C12" s="199">
        <f>VLOOKUP(A12,Catálogo!$A$5:$L$51,3,0)</f>
        <v/>
      </c>
      <c r="D12" s="204">
        <f>VLOOKUP(A12,Ventas!$A$5:$K$51,4,0)</f>
        <v/>
      </c>
      <c r="E12" s="192">
        <f>VLOOKUP(A12,Ventas!$A$5:$K$51,5,0)</f>
        <v/>
      </c>
      <c r="F12" s="200">
        <f>E12-D12</f>
        <v/>
      </c>
      <c r="G12" s="200">
        <f>IF(D12=0,0,F12/D12)</f>
        <v/>
      </c>
      <c r="H12" s="135">
        <f>IF($D$8=0,0,F12/$D$8)</f>
        <v/>
      </c>
    </row>
    <row r="13" ht="15" customHeight="1" s="37">
      <c r="A13" s="97" t="inlineStr">
        <is>
          <t>LAC-014</t>
        </is>
      </c>
      <c r="B13" s="199">
        <f>VLOOKUP(A13,Catálogo!$A$5:$L$51,2,0)</f>
        <v/>
      </c>
      <c r="C13" s="199">
        <f>VLOOKUP(A13,Catálogo!$A$5:$L$51,3,0)</f>
        <v/>
      </c>
      <c r="D13" s="204">
        <f>VLOOKUP(A13,Ventas!$A$5:$K$51,4,0)</f>
        <v/>
      </c>
      <c r="E13" s="192">
        <f>VLOOKUP(A13,Ventas!$A$5:$K$51,5,0)</f>
        <v/>
      </c>
      <c r="F13" s="200">
        <f>E13-D13</f>
        <v/>
      </c>
      <c r="G13" s="200">
        <f>IF(D13=0,0,F13/D13)</f>
        <v/>
      </c>
      <c r="H13" s="135">
        <f>IF($D$8=0,0,F13/$D$8)</f>
        <v/>
      </c>
    </row>
    <row r="14" ht="15" customHeight="1" s="37">
      <c r="A14" s="97" t="inlineStr">
        <is>
          <t>LAC-015</t>
        </is>
      </c>
      <c r="B14" s="199">
        <f>VLOOKUP(A14,Catálogo!$A$5:$L$51,2,0)</f>
        <v/>
      </c>
      <c r="C14" s="199">
        <f>VLOOKUP(A14,Catálogo!$A$5:$L$51,3,0)</f>
        <v/>
      </c>
      <c r="D14" s="204">
        <f>VLOOKUP(A14,Ventas!$A$5:$K$51,4,0)</f>
        <v/>
      </c>
      <c r="E14" s="192">
        <f>VLOOKUP(A14,Ventas!$A$5:$K$51,5,0)</f>
        <v/>
      </c>
      <c r="F14" s="200">
        <f>E14-D14</f>
        <v/>
      </c>
      <c r="G14" s="200">
        <f>IF(D14=0,0,F14/D14)</f>
        <v/>
      </c>
      <c r="H14" s="135">
        <f>IF($D$8=0,0,F14/$D$8)</f>
        <v/>
      </c>
    </row>
    <row r="15" ht="15" customHeight="1" s="37">
      <c r="A15" s="97" t="inlineStr">
        <is>
          <t>LAC-002</t>
        </is>
      </c>
      <c r="B15" s="199">
        <f>VLOOKUP(A15,Catálogo!$A$5:$L$51,2,0)</f>
        <v/>
      </c>
      <c r="C15" s="199">
        <f>VLOOKUP(A15,Catálogo!$A$5:$L$51,3,0)</f>
        <v/>
      </c>
      <c r="D15" s="204">
        <f>VLOOKUP(A15,Ventas!$A$5:$K$51,4,0)</f>
        <v/>
      </c>
      <c r="E15" s="192">
        <f>VLOOKUP(A15,Ventas!$A$5:$K$51,5,0)</f>
        <v/>
      </c>
      <c r="F15" s="200">
        <f>E15-D15</f>
        <v/>
      </c>
      <c r="G15" s="200">
        <f>IF(D15=0,0,F15/D15)</f>
        <v/>
      </c>
      <c r="H15" s="135">
        <f>IF($D$8=0,0,F15/$D$8)</f>
        <v/>
      </c>
    </row>
    <row r="16" ht="15" customHeight="1" s="37">
      <c r="A16" s="97" t="inlineStr">
        <is>
          <t>LAC-013</t>
        </is>
      </c>
      <c r="B16" s="199">
        <f>VLOOKUP(A16,Catálogo!$A$5:$L$51,2,0)</f>
        <v/>
      </c>
      <c r="C16" s="199">
        <f>VLOOKUP(A16,Catálogo!$A$5:$L$51,3,0)</f>
        <v/>
      </c>
      <c r="D16" s="204">
        <f>VLOOKUP(A16,Ventas!$A$5:$K$51,4,0)</f>
        <v/>
      </c>
      <c r="E16" s="192">
        <f>VLOOKUP(A16,Ventas!$A$5:$K$51,5,0)</f>
        <v/>
      </c>
      <c r="F16" s="200">
        <f>E16-D16</f>
        <v/>
      </c>
      <c r="G16" s="200">
        <f>IF(D16=0,0,F16/D16)</f>
        <v/>
      </c>
      <c r="H16" s="135">
        <f>IF($D$8=0,0,F16/$D$8)</f>
        <v/>
      </c>
    </row>
    <row r="17" ht="15" customHeight="1" s="37">
      <c r="A17" s="97" t="inlineStr">
        <is>
          <t>LAC-017</t>
        </is>
      </c>
      <c r="B17" s="199">
        <f>VLOOKUP(A17,Catálogo!$A$5:$L$51,2,0)</f>
        <v/>
      </c>
      <c r="C17" s="199">
        <f>VLOOKUP(A17,Catálogo!$A$5:$L$51,3,0)</f>
        <v/>
      </c>
      <c r="D17" s="204">
        <f>VLOOKUP(A17,Ventas!$A$5:$K$51,4,0)</f>
        <v/>
      </c>
      <c r="E17" s="192">
        <f>VLOOKUP(A17,Ventas!$A$5:$K$51,5,0)</f>
        <v/>
      </c>
      <c r="F17" s="200">
        <f>E17-D17</f>
        <v/>
      </c>
      <c r="G17" s="200">
        <f>IF(D17=0,0,F17/D17)</f>
        <v/>
      </c>
      <c r="H17" s="135">
        <f>IF($D$8=0,0,F17/$D$8)</f>
        <v/>
      </c>
    </row>
    <row r="18" ht="15" customHeight="1" s="37">
      <c r="A18" s="97" t="inlineStr">
        <is>
          <t>LAC-004</t>
        </is>
      </c>
      <c r="B18" s="199">
        <f>VLOOKUP(A18,Catálogo!$A$5:$L$51,2,0)</f>
        <v/>
      </c>
      <c r="C18" s="199">
        <f>VLOOKUP(A18,Catálogo!$A$5:$L$51,3,0)</f>
        <v/>
      </c>
      <c r="D18" s="204">
        <f>VLOOKUP(A18,Ventas!$A$5:$K$51,4,0)</f>
        <v/>
      </c>
      <c r="E18" s="192">
        <f>VLOOKUP(A18,Ventas!$A$5:$K$51,5,0)</f>
        <v/>
      </c>
      <c r="F18" s="200">
        <f>E18-D18</f>
        <v/>
      </c>
      <c r="G18" s="200">
        <f>IF(D18=0,0,F18/D18)</f>
        <v/>
      </c>
      <c r="H18" s="135">
        <f>IF($D$8=0,0,F18/$D$8)</f>
        <v/>
      </c>
    </row>
    <row r="19" ht="15" customHeight="1" s="37">
      <c r="A19" s="97" t="inlineStr">
        <is>
          <t>LAC-003</t>
        </is>
      </c>
      <c r="B19" s="199">
        <f>VLOOKUP(A19,Catálogo!$A$5:$L$51,2,0)</f>
        <v/>
      </c>
      <c r="C19" s="199">
        <f>VLOOKUP(A19,Catálogo!$A$5:$L$51,3,0)</f>
        <v/>
      </c>
      <c r="D19" s="204">
        <f>VLOOKUP(A19,Ventas!$A$5:$K$51,4,0)</f>
        <v/>
      </c>
      <c r="E19" s="192">
        <f>VLOOKUP(A19,Ventas!$A$5:$K$51,5,0)</f>
        <v/>
      </c>
      <c r="F19" s="200">
        <f>E19-D19</f>
        <v/>
      </c>
      <c r="G19" s="200">
        <f>IF(D19=0,0,F19/D19)</f>
        <v/>
      </c>
      <c r="H19" s="135">
        <f>IF($D$8=0,0,F19/$D$8)</f>
        <v/>
      </c>
    </row>
    <row r="20" ht="15" customHeight="1" s="37">
      <c r="A20" s="97" t="inlineStr">
        <is>
          <t>LAC-008</t>
        </is>
      </c>
      <c r="B20" s="199">
        <f>VLOOKUP(A20,Catálogo!$A$5:$L$51,2,0)</f>
        <v/>
      </c>
      <c r="C20" s="199">
        <f>VLOOKUP(A20,Catálogo!$A$5:$L$51,3,0)</f>
        <v/>
      </c>
      <c r="D20" s="204">
        <f>VLOOKUP(A20,Ventas!$A$5:$K$51,4,0)</f>
        <v/>
      </c>
      <c r="E20" s="192">
        <f>VLOOKUP(A20,Ventas!$A$5:$K$51,5,0)</f>
        <v/>
      </c>
      <c r="F20" s="200">
        <f>E20-D20</f>
        <v/>
      </c>
      <c r="G20" s="200">
        <f>IF(D20=0,0,F20/D20)</f>
        <v/>
      </c>
      <c r="H20" s="135">
        <f>IF($D$8=0,0,F20/$D$8)</f>
        <v/>
      </c>
    </row>
    <row r="21" ht="15" customHeight="1" s="37">
      <c r="A21" s="97" t="inlineStr">
        <is>
          <t>LAC-018</t>
        </is>
      </c>
      <c r="B21" s="199">
        <f>VLOOKUP(A21,Catálogo!$A$5:$L$51,2,0)</f>
        <v/>
      </c>
      <c r="C21" s="199">
        <f>VLOOKUP(A21,Catálogo!$A$5:$L$51,3,0)</f>
        <v/>
      </c>
      <c r="D21" s="204">
        <f>VLOOKUP(A21,Ventas!$A$5:$K$51,4,0)</f>
        <v/>
      </c>
      <c r="E21" s="192">
        <f>VLOOKUP(A21,Ventas!$A$5:$K$51,5,0)</f>
        <v/>
      </c>
      <c r="F21" s="200">
        <f>E21-D21</f>
        <v/>
      </c>
      <c r="G21" s="200">
        <f>IF(D21=0,0,F21/D21)</f>
        <v/>
      </c>
      <c r="H21" s="135">
        <f>IF($D$8=0,0,F21/$D$8)</f>
        <v/>
      </c>
    </row>
  </sheetData>
  <mergeCells count="2">
    <mergeCell ref="A2:H2"/>
    <mergeCell ref="A1:H1"/>
  </mergeCell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:language>en-US</dc:language>
  <dcterms:created xsi:type="dcterms:W3CDTF">2026-05-15T05:07:46Z</dcterms:created>
  <dcterms:modified xsi:type="dcterms:W3CDTF">2026-05-15T06:10:02Z</dcterms:modified>
  <cp:revision>0</cp:revision>
</cp:coreProperties>
</file>